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Ex4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Ex5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geangr-my.sharepoint.com/personal/nick_aegean_gr/Documents/Επιφάνεια εργασίας/XrimaII/"/>
    </mc:Choice>
  </mc:AlternateContent>
  <xr:revisionPtr revIDLastSave="129" documentId="13_ncr:1_{4B8D4D9D-C1AA-4E4D-BA21-0D68E2FF548A}" xr6:coauthVersionLast="47" xr6:coauthVersionMax="47" xr10:uidLastSave="{7AB03904-5F1A-4924-9A1F-01E57D6854B3}"/>
  <bookViews>
    <workbookView xWindow="-93" yWindow="-93" windowWidth="18426" windowHeight="11626" activeTab="1" xr2:uid="{00000000-000D-0000-FFFF-FFFF00000000}"/>
  </bookViews>
  <sheets>
    <sheet name="Ελάχιστη Διακύμανση" sheetId="2" r:id="rId1"/>
    <sheet name="Sheet1" sheetId="8" r:id="rId2"/>
    <sheet name="Μέγιστη Απόδοση" sheetId="6" r:id="rId3"/>
    <sheet name="Μέγιστη Διαφορά" sheetId="7" r:id="rId4"/>
    <sheet name="Data" sheetId="3" r:id="rId5"/>
  </sheets>
  <definedNames>
    <definedName name="_xlchart.v1.0" hidden="1">'Ελάχιστη Διακύμανση'!$AJ$2:$AJ$91</definedName>
    <definedName name="_xlchart.v1.1" hidden="1">'Ελάχιστη Διακύμανση'!$I$2:$I$91</definedName>
    <definedName name="_xlchart.v1.2" hidden="1">'Ελάχιστη Διακύμανση'!$G$3:$G$92</definedName>
    <definedName name="_xlchart.v1.3" hidden="1">'Ελάχιστη Διακύμανση'!$E$2:$E$91</definedName>
    <definedName name="_xlchart.v1.4" hidden="1">Sheet1!$D$1:$D$91</definedName>
    <definedName name="solver_adj" localSheetId="0" hidden="1">'Ελάχιστη Διακύμανση'!$T$2:$T$4</definedName>
    <definedName name="solver_adj" localSheetId="2" hidden="1">'Μέγιστη Απόδοση'!$T$2:$T$3</definedName>
    <definedName name="solver_adj" localSheetId="3" hidden="1">'Μέγιστη Διαφορά'!$T$2:$T$4</definedName>
    <definedName name="solver_cvg" localSheetId="0" hidden="1">0.0001</definedName>
    <definedName name="solver_cvg" localSheetId="2" hidden="1">0.0001</definedName>
    <definedName name="solver_cvg" localSheetId="3" hidden="1">0.0001</definedName>
    <definedName name="solver_drv" localSheetId="0" hidden="1">2</definedName>
    <definedName name="solver_drv" localSheetId="2" hidden="1">2</definedName>
    <definedName name="solver_drv" localSheetId="3" hidden="1">2</definedName>
    <definedName name="solver_eng" localSheetId="0" hidden="1">1</definedName>
    <definedName name="solver_eng" localSheetId="2" hidden="1">1</definedName>
    <definedName name="solver_eng" localSheetId="3" hidden="1">1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2" hidden="1">2147483647</definedName>
    <definedName name="solver_itr" localSheetId="3" hidden="1">2147483647</definedName>
    <definedName name="solver_lhs1" localSheetId="0" hidden="1">'Ελάχιστη Διακύμανση'!$T$11</definedName>
    <definedName name="solver_lhs1" localSheetId="2" hidden="1">'Μέγιστη Απόδοση'!$T$10</definedName>
    <definedName name="solver_lhs1" localSheetId="3" hidden="1">'Μέγιστη Διαφορά'!$T$9</definedName>
    <definedName name="solver_lhs2" localSheetId="0" hidden="1">'Ελάχιστη Διακύμανση'!$T$9</definedName>
    <definedName name="solver_lhs2" localSheetId="2" hidden="1">'Μέγιστη Απόδοση'!$T$11</definedName>
    <definedName name="solver_lhs2" localSheetId="3" hidden="1">'Μέγιστη Διαφορά'!$T$9</definedName>
    <definedName name="solver_lhs3" localSheetId="0" hidden="1">'Ελάχιστη Διακύμανση'!$T$9</definedName>
    <definedName name="solver_lhs3" localSheetId="2" hidden="1">'Μέγιστη Απόδοση'!$T$9</definedName>
    <definedName name="solver_lhs3" localSheetId="3" hidden="1">'Μέγιστη Διαφορά'!$T$9</definedName>
    <definedName name="solver_mip" localSheetId="0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neg" localSheetId="0" hidden="1">2</definedName>
    <definedName name="solver_neg" localSheetId="2" hidden="1">1</definedName>
    <definedName name="solver_neg" localSheetId="3" hidden="1">2</definedName>
    <definedName name="solver_nod" localSheetId="0" hidden="1">2147483647</definedName>
    <definedName name="solver_nod" localSheetId="2" hidden="1">2147483647</definedName>
    <definedName name="solver_nod" localSheetId="3" hidden="1">2147483647</definedName>
    <definedName name="solver_num" localSheetId="0" hidden="1">2</definedName>
    <definedName name="solver_num" localSheetId="2" hidden="1">2</definedName>
    <definedName name="solver_num" localSheetId="3" hidden="1">1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opt" localSheetId="0" hidden="1">'Ελάχιστη Διακύμανση'!$T$7</definedName>
    <definedName name="solver_opt" localSheetId="2" hidden="1">'Μέγιστη Απόδοση'!$T$7</definedName>
    <definedName name="solver_opt" localSheetId="3" hidden="1">'Μέγιστη Διαφορά'!$T$7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rbv" localSheetId="0" hidden="1">2</definedName>
    <definedName name="solver_rbv" localSheetId="2" hidden="1">2</definedName>
    <definedName name="solver_rbv" localSheetId="3" hidden="1">2</definedName>
    <definedName name="solver_rel1" localSheetId="0" hidden="1">2</definedName>
    <definedName name="solver_rel1" localSheetId="2" hidden="1">2</definedName>
    <definedName name="solver_rel1" localSheetId="3" hidden="1">2</definedName>
    <definedName name="solver_rel2" localSheetId="0" hidden="1">2</definedName>
    <definedName name="solver_rel2" localSheetId="2" hidden="1">2</definedName>
    <definedName name="solver_rel2" localSheetId="3" hidden="1">2</definedName>
    <definedName name="solver_rel3" localSheetId="0" hidden="1">2</definedName>
    <definedName name="solver_rel3" localSheetId="2" hidden="1">2</definedName>
    <definedName name="solver_rel3" localSheetId="3" hidden="1">2</definedName>
    <definedName name="solver_rhs1" localSheetId="0" hidden="1">'Ελάχιστη Διακύμανση'!$V$11</definedName>
    <definedName name="solver_rhs1" localSheetId="2" hidden="1">'Μέγιστη Απόδοση'!$V$10</definedName>
    <definedName name="solver_rhs1" localSheetId="3" hidden="1">'Μέγιστη Διαφορά'!$V$9</definedName>
    <definedName name="solver_rhs2" localSheetId="0" hidden="1">'Ελάχιστη Διακύμανση'!$V$9</definedName>
    <definedName name="solver_rhs2" localSheetId="2" hidden="1">'Μέγιστη Απόδοση'!$V$11</definedName>
    <definedName name="solver_rhs2" localSheetId="3" hidden="1">'Μέγιστη Διαφορά'!$V$9</definedName>
    <definedName name="solver_rhs3" localSheetId="0" hidden="1">'Ελάχιστη Διακύμανση'!$V$9</definedName>
    <definedName name="solver_rhs3" localSheetId="2" hidden="1">'Μέγιστη Απόδοση'!$V$9</definedName>
    <definedName name="solver_rhs3" localSheetId="3" hidden="1">'Μέγιστη Διαφορά'!$V$9</definedName>
    <definedName name="solver_rlx" localSheetId="0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scl" localSheetId="0" hidden="1">2</definedName>
    <definedName name="solver_scl" localSheetId="2" hidden="1">2</definedName>
    <definedName name="solver_scl" localSheetId="3" hidden="1">2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2" hidden="1">0.01</definedName>
    <definedName name="solver_tol" localSheetId="3" hidden="1">0.01</definedName>
    <definedName name="solver_typ" localSheetId="0" hidden="1">2</definedName>
    <definedName name="solver_typ" localSheetId="2" hidden="1">1</definedName>
    <definedName name="solver_typ" localSheetId="3" hidden="1">1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2" hidden="1">3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0" i="8" l="1"/>
  <c r="D121" i="8" s="1"/>
  <c r="D122" i="8" s="1"/>
  <c r="D123" i="8" s="1"/>
  <c r="D124" i="8" s="1"/>
  <c r="D125" i="8" s="1"/>
  <c r="D126" i="8" s="1"/>
  <c r="D127" i="8" s="1"/>
  <c r="D128" i="8" s="1"/>
  <c r="D129" i="8" s="1"/>
  <c r="D130" i="8" s="1"/>
  <c r="D131" i="8" s="1"/>
  <c r="D132" i="8" s="1"/>
  <c r="D133" i="8" s="1"/>
  <c r="D134" i="8" s="1"/>
  <c r="D135" i="8" s="1"/>
  <c r="D136" i="8" s="1"/>
  <c r="D137" i="8" s="1"/>
  <c r="D138" i="8" s="1"/>
  <c r="D139" i="8" s="1"/>
  <c r="D140" i="8" s="1"/>
  <c r="D141" i="8" s="1"/>
  <c r="D142" i="8" s="1"/>
  <c r="D143" i="8" s="1"/>
  <c r="D144" i="8" s="1"/>
  <c r="D145" i="8" s="1"/>
  <c r="D146" i="8" s="1"/>
  <c r="D147" i="8" s="1"/>
  <c r="D148" i="8" s="1"/>
  <c r="D149" i="8" s="1"/>
  <c r="D150" i="8" s="1"/>
  <c r="D151" i="8" s="1"/>
  <c r="D152" i="8" s="1"/>
  <c r="D153" i="8" s="1"/>
  <c r="D154" i="8" s="1"/>
  <c r="D155" i="8" s="1"/>
  <c r="D156" i="8" s="1"/>
  <c r="D157" i="8" s="1"/>
  <c r="D158" i="8" s="1"/>
  <c r="D159" i="8" s="1"/>
  <c r="D160" i="8" s="1"/>
  <c r="D161" i="8" s="1"/>
  <c r="D162" i="8" s="1"/>
  <c r="D163" i="8" s="1"/>
  <c r="D164" i="8" s="1"/>
  <c r="D165" i="8" s="1"/>
  <c r="D166" i="8" s="1"/>
  <c r="D167" i="8" s="1"/>
  <c r="D168" i="8" s="1"/>
  <c r="D169" i="8" s="1"/>
  <c r="D170" i="8" s="1"/>
  <c r="D171" i="8" s="1"/>
  <c r="D172" i="8" s="1"/>
  <c r="D173" i="8" s="1"/>
  <c r="D174" i="8" s="1"/>
  <c r="D175" i="8" s="1"/>
  <c r="D176" i="8" s="1"/>
  <c r="D177" i="8" s="1"/>
  <c r="D178" i="8" s="1"/>
  <c r="D179" i="8" s="1"/>
  <c r="D180" i="8" s="1"/>
  <c r="D181" i="8" s="1"/>
  <c r="D182" i="8" s="1"/>
  <c r="D183" i="8" s="1"/>
  <c r="D184" i="8" s="1"/>
  <c r="D185" i="8" s="1"/>
  <c r="D186" i="8" s="1"/>
  <c r="D187" i="8" s="1"/>
  <c r="D188" i="8" s="1"/>
  <c r="D189" i="8" s="1"/>
  <c r="D190" i="8" s="1"/>
  <c r="D191" i="8" s="1"/>
  <c r="D192" i="8" s="1"/>
  <c r="D193" i="8" s="1"/>
  <c r="D194" i="8" s="1"/>
  <c r="D195" i="8" s="1"/>
  <c r="D196" i="8" s="1"/>
  <c r="D197" i="8" s="1"/>
  <c r="D198" i="8" s="1"/>
  <c r="D199" i="8" s="1"/>
  <c r="D200" i="8" s="1"/>
  <c r="D201" i="8" s="1"/>
  <c r="D202" i="8" s="1"/>
  <c r="D203" i="8" s="1"/>
  <c r="D204" i="8" s="1"/>
  <c r="C1" i="8"/>
  <c r="A92" i="8"/>
  <c r="A91" i="8" s="1"/>
  <c r="E90" i="8" s="1"/>
  <c r="N2" i="8"/>
  <c r="N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1" i="8"/>
  <c r="L37" i="2"/>
  <c r="L36" i="2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E2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1" i="8"/>
  <c r="AK3" i="2"/>
  <c r="AK2" i="2"/>
  <c r="AL102" i="2"/>
  <c r="C93" i="2"/>
  <c r="C92" i="2"/>
  <c r="B93" i="2"/>
  <c r="B92" i="2"/>
  <c r="A93" i="2"/>
  <c r="A92" i="2"/>
  <c r="E2" i="2"/>
  <c r="AL99" i="2"/>
  <c r="AG2" i="2"/>
  <c r="AG3" i="2" s="1"/>
  <c r="AJ2" i="2"/>
  <c r="Q48" i="2"/>
  <c r="O1" i="8" l="1"/>
  <c r="O2" i="8" s="1"/>
  <c r="E95" i="8" s="1"/>
  <c r="N90" i="8"/>
  <c r="E91" i="8"/>
  <c r="E92" i="8" s="1"/>
  <c r="E93" i="8" s="1"/>
  <c r="C2" i="8"/>
  <c r="C3" i="8" s="1"/>
  <c r="AJ3" i="2"/>
  <c r="AG4" i="2"/>
  <c r="AG5" i="2" s="1"/>
  <c r="AJ5" i="2" s="1"/>
  <c r="L46" i="2"/>
  <c r="E98" i="8" l="1"/>
  <c r="N91" i="8"/>
  <c r="B2" i="8"/>
  <c r="B1" i="8"/>
  <c r="C4" i="8"/>
  <c r="B3" i="8"/>
  <c r="AG6" i="2"/>
  <c r="AG7" i="2" s="1"/>
  <c r="AJ4" i="2"/>
  <c r="Y12" i="2"/>
  <c r="C5" i="8" l="1"/>
  <c r="B4" i="8"/>
  <c r="AJ6" i="2"/>
  <c r="AG8" i="2"/>
  <c r="AJ7" i="2"/>
  <c r="Z50" i="2"/>
  <c r="Y14" i="2"/>
  <c r="Y16" i="2" s="1"/>
  <c r="Z23" i="2"/>
  <c r="C6" i="8" l="1"/>
  <c r="B5" i="8"/>
  <c r="AG9" i="2"/>
  <c r="AJ8" i="2"/>
  <c r="N37" i="7"/>
  <c r="N36" i="7"/>
  <c r="M37" i="7"/>
  <c r="M36" i="7"/>
  <c r="L37" i="7"/>
  <c r="L36" i="7"/>
  <c r="N2" i="7"/>
  <c r="M2" i="7"/>
  <c r="L2" i="7"/>
  <c r="J2" i="7"/>
  <c r="H2" i="7"/>
  <c r="F2" i="7"/>
  <c r="R2" i="7"/>
  <c r="Q2" i="7"/>
  <c r="P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2" i="7"/>
  <c r="I3" i="6"/>
  <c r="I4" i="6"/>
  <c r="I5" i="6"/>
  <c r="R2" i="6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2" i="6"/>
  <c r="N36" i="6" s="1"/>
  <c r="G3" i="6"/>
  <c r="M36" i="6" s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2" i="6"/>
  <c r="M37" i="6" s="1"/>
  <c r="E3" i="6"/>
  <c r="E4" i="6"/>
  <c r="E5" i="6"/>
  <c r="E6" i="6"/>
  <c r="E7" i="6"/>
  <c r="E8" i="6"/>
  <c r="E9" i="6"/>
  <c r="F2" i="6" s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2" i="6"/>
  <c r="M2" i="6" s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C7" i="8" l="1"/>
  <c r="B6" i="8"/>
  <c r="AJ9" i="2"/>
  <c r="AG10" i="2"/>
  <c r="H2" i="2"/>
  <c r="M37" i="2"/>
  <c r="N37" i="2"/>
  <c r="F2" i="2"/>
  <c r="Q2" i="2"/>
  <c r="J2" i="2"/>
  <c r="R2" i="2"/>
  <c r="N36" i="2"/>
  <c r="N2" i="2"/>
  <c r="M36" i="2"/>
  <c r="Z51" i="2"/>
  <c r="Z52" i="2" s="1"/>
  <c r="L2" i="2"/>
  <c r="M2" i="2"/>
  <c r="P2" i="6"/>
  <c r="N37" i="6"/>
  <c r="Q2" i="6"/>
  <c r="H2" i="6"/>
  <c r="L36" i="6"/>
  <c r="J2" i="6"/>
  <c r="L37" i="6"/>
  <c r="L2" i="6"/>
  <c r="N2" i="6"/>
  <c r="B7" i="8" l="1"/>
  <c r="C8" i="8"/>
  <c r="AJ10" i="2"/>
  <c r="AG11" i="2"/>
  <c r="Z53" i="2"/>
  <c r="Z54" i="2" s="1"/>
  <c r="Y15" i="2"/>
  <c r="V11" i="6"/>
  <c r="T10" i="6"/>
  <c r="T9" i="7"/>
  <c r="B8" i="8" l="1"/>
  <c r="C9" i="8"/>
  <c r="AJ11" i="2"/>
  <c r="AG12" i="2"/>
  <c r="L33" i="7"/>
  <c r="L32" i="7"/>
  <c r="Q13" i="7"/>
  <c r="R13" i="7" s="1"/>
  <c r="Q12" i="7"/>
  <c r="Q11" i="7"/>
  <c r="R11" i="7" s="1"/>
  <c r="M25" i="7"/>
  <c r="M26" i="7"/>
  <c r="N26" i="7"/>
  <c r="L33" i="6"/>
  <c r="L32" i="6"/>
  <c r="Q13" i="6"/>
  <c r="Q12" i="6"/>
  <c r="R12" i="6" s="1"/>
  <c r="Q11" i="6"/>
  <c r="R11" i="6" s="1"/>
  <c r="B9" i="8" l="1"/>
  <c r="C10" i="8"/>
  <c r="AG13" i="2"/>
  <c r="AJ12" i="2"/>
  <c r="L38" i="6"/>
  <c r="L30" i="6"/>
  <c r="N26" i="6"/>
  <c r="L29" i="6"/>
  <c r="M25" i="6"/>
  <c r="L26" i="6"/>
  <c r="Q14" i="7"/>
  <c r="Q14" i="6"/>
  <c r="L26" i="7"/>
  <c r="N24" i="7"/>
  <c r="R12" i="7"/>
  <c r="R20" i="7" s="1"/>
  <c r="L29" i="7"/>
  <c r="N25" i="7"/>
  <c r="L30" i="7"/>
  <c r="M38" i="7"/>
  <c r="L38" i="7"/>
  <c r="N38" i="7"/>
  <c r="L28" i="6"/>
  <c r="R13" i="6"/>
  <c r="R20" i="6" s="1"/>
  <c r="L34" i="2"/>
  <c r="L33" i="2"/>
  <c r="L32" i="2"/>
  <c r="C11" i="8" l="1"/>
  <c r="B10" i="8"/>
  <c r="AG14" i="2"/>
  <c r="AJ13" i="2"/>
  <c r="L40" i="7"/>
  <c r="V11" i="7" s="1"/>
  <c r="T7" i="7"/>
  <c r="L41" i="7" s="1"/>
  <c r="M38" i="6"/>
  <c r="T11" i="6"/>
  <c r="T7" i="6"/>
  <c r="N38" i="6"/>
  <c r="N24" i="6"/>
  <c r="L24" i="6"/>
  <c r="L40" i="6"/>
  <c r="O48" i="6" s="1"/>
  <c r="M24" i="7"/>
  <c r="L25" i="7"/>
  <c r="L28" i="7"/>
  <c r="T11" i="7"/>
  <c r="L24" i="7"/>
  <c r="M24" i="6"/>
  <c r="L25" i="6"/>
  <c r="N25" i="6"/>
  <c r="M26" i="6"/>
  <c r="Q12" i="2"/>
  <c r="R12" i="2" s="1"/>
  <c r="C12" i="8" l="1"/>
  <c r="B11" i="8"/>
  <c r="AG15" i="2"/>
  <c r="AJ14" i="2"/>
  <c r="O45" i="6"/>
  <c r="O48" i="7"/>
  <c r="O45" i="7"/>
  <c r="Q13" i="2"/>
  <c r="R13" i="2" s="1"/>
  <c r="Q11" i="2"/>
  <c r="R11" i="2" s="1"/>
  <c r="B12" i="8" l="1"/>
  <c r="C13" i="8"/>
  <c r="AJ15" i="2"/>
  <c r="AG16" i="2"/>
  <c r="R20" i="2"/>
  <c r="Q14" i="2"/>
  <c r="T9" i="2"/>
  <c r="B13" i="8" l="1"/>
  <c r="C14" i="8"/>
  <c r="AJ16" i="2"/>
  <c r="AG17" i="2"/>
  <c r="L24" i="2"/>
  <c r="N26" i="2"/>
  <c r="L30" i="2"/>
  <c r="L29" i="2"/>
  <c r="M25" i="2"/>
  <c r="B14" i="8" l="1"/>
  <c r="C15" i="8"/>
  <c r="AJ17" i="2"/>
  <c r="AG18" i="2"/>
  <c r="M38" i="2"/>
  <c r="N38" i="2"/>
  <c r="L38" i="2"/>
  <c r="L25" i="2"/>
  <c r="M24" i="2"/>
  <c r="M26" i="2"/>
  <c r="N25" i="2"/>
  <c r="N24" i="2"/>
  <c r="L26" i="2"/>
  <c r="T7" i="2"/>
  <c r="L41" i="2" s="1"/>
  <c r="R48" i="2" s="1"/>
  <c r="V11" i="2"/>
  <c r="C16" i="8" l="1"/>
  <c r="B15" i="8"/>
  <c r="AG19" i="2"/>
  <c r="AJ18" i="2"/>
  <c r="O48" i="2"/>
  <c r="O45" i="2"/>
  <c r="P46" i="2" s="1"/>
  <c r="AB20" i="2"/>
  <c r="AB25" i="2"/>
  <c r="AD27" i="2" s="1"/>
  <c r="B16" i="8" l="1"/>
  <c r="C17" i="8"/>
  <c r="AG20" i="2"/>
  <c r="AJ19" i="2"/>
  <c r="AD26" i="2"/>
  <c r="AD28" i="2"/>
  <c r="AD22" i="2"/>
  <c r="AD18" i="2"/>
  <c r="B17" i="8" l="1"/>
  <c r="C18" i="8"/>
  <c r="AG21" i="2"/>
  <c r="AJ20" i="2"/>
  <c r="AD21" i="2"/>
  <c r="AB26" i="2" s="1"/>
  <c r="AB24" i="2" s="1"/>
  <c r="AD23" i="2"/>
  <c r="AB27" i="2" s="1"/>
  <c r="AD17" i="2"/>
  <c r="AD19" i="2"/>
  <c r="C19" i="8" l="1"/>
  <c r="B18" i="8"/>
  <c r="AG22" i="2"/>
  <c r="AJ21" i="2"/>
  <c r="AB21" i="2"/>
  <c r="Y21" i="2" s="1"/>
  <c r="AB19" i="2"/>
  <c r="C20" i="8" l="1"/>
  <c r="B19" i="8"/>
  <c r="AG23" i="2"/>
  <c r="AJ22" i="2"/>
  <c r="AB18" i="2"/>
  <c r="Y20" i="2" s="1"/>
  <c r="Y18" i="2"/>
  <c r="Y19" i="2" s="1"/>
  <c r="B20" i="8" l="1"/>
  <c r="C21" i="8"/>
  <c r="AG24" i="2"/>
  <c r="AJ23" i="2"/>
  <c r="B21" i="8" l="1"/>
  <c r="C22" i="8"/>
  <c r="AJ24" i="2"/>
  <c r="AG25" i="2"/>
  <c r="C23" i="8" l="1"/>
  <c r="B22" i="8"/>
  <c r="AJ25" i="2"/>
  <c r="AG26" i="2"/>
  <c r="C24" i="8" l="1"/>
  <c r="B23" i="8"/>
  <c r="AJ26" i="2"/>
  <c r="AG27" i="2"/>
  <c r="B24" i="8" l="1"/>
  <c r="C25" i="8"/>
  <c r="AG28" i="2"/>
  <c r="AJ27" i="2"/>
  <c r="B25" i="8" l="1"/>
  <c r="C26" i="8"/>
  <c r="AG29" i="2"/>
  <c r="AJ28" i="2"/>
  <c r="C27" i="8" l="1"/>
  <c r="B26" i="8"/>
  <c r="AJ29" i="2"/>
  <c r="AG30" i="2"/>
  <c r="C28" i="8" l="1"/>
  <c r="B27" i="8"/>
  <c r="AJ30" i="2"/>
  <c r="AG31" i="2"/>
  <c r="B28" i="8" l="1"/>
  <c r="C29" i="8"/>
  <c r="AG32" i="2"/>
  <c r="AJ31" i="2"/>
  <c r="B29" i="8" l="1"/>
  <c r="C30" i="8"/>
  <c r="AG33" i="2"/>
  <c r="AJ32" i="2"/>
  <c r="C31" i="8" l="1"/>
  <c r="B30" i="8"/>
  <c r="AG34" i="2"/>
  <c r="AJ33" i="2"/>
  <c r="D1" i="8" l="1"/>
  <c r="C32" i="8"/>
  <c r="B31" i="8"/>
  <c r="AJ34" i="2"/>
  <c r="AG35" i="2"/>
  <c r="D2" i="8" l="1"/>
  <c r="B32" i="8"/>
  <c r="C33" i="8"/>
  <c r="AG36" i="2"/>
  <c r="AJ35" i="2"/>
  <c r="D3" i="8" l="1"/>
  <c r="B33" i="8"/>
  <c r="C34" i="8"/>
  <c r="AG37" i="2"/>
  <c r="AJ36" i="2"/>
  <c r="D4" i="8" l="1"/>
  <c r="C35" i="8"/>
  <c r="B34" i="8"/>
  <c r="AG38" i="2"/>
  <c r="AJ37" i="2"/>
  <c r="D5" i="8" l="1"/>
  <c r="C36" i="8"/>
  <c r="B35" i="8"/>
  <c r="AG39" i="2"/>
  <c r="AJ38" i="2"/>
  <c r="D6" i="8" l="1"/>
  <c r="C37" i="8"/>
  <c r="B36" i="8"/>
  <c r="AJ39" i="2"/>
  <c r="AG40" i="2"/>
  <c r="D7" i="8" l="1"/>
  <c r="C38" i="8"/>
  <c r="B37" i="8"/>
  <c r="AJ40" i="2"/>
  <c r="AG41" i="2"/>
  <c r="D8" i="8" l="1"/>
  <c r="C39" i="8"/>
  <c r="B38" i="8"/>
  <c r="AJ41" i="2"/>
  <c r="AG42" i="2"/>
  <c r="D9" i="8" l="1"/>
  <c r="C40" i="8"/>
  <c r="B39" i="8"/>
  <c r="AJ42" i="2"/>
  <c r="AG43" i="2"/>
  <c r="D10" i="8" l="1"/>
  <c r="B40" i="8"/>
  <c r="C41" i="8"/>
  <c r="AG44" i="2"/>
  <c r="AJ43" i="2"/>
  <c r="D11" i="8" l="1"/>
  <c r="B41" i="8"/>
  <c r="C42" i="8"/>
  <c r="AG45" i="2"/>
  <c r="AJ44" i="2"/>
  <c r="D12" i="8" l="1"/>
  <c r="C43" i="8"/>
  <c r="B42" i="8"/>
  <c r="AG46" i="2"/>
  <c r="AJ45" i="2"/>
  <c r="D13" i="8" l="1"/>
  <c r="C44" i="8"/>
  <c r="B43" i="8"/>
  <c r="AG47" i="2"/>
  <c r="AJ46" i="2"/>
  <c r="D14" i="8" l="1"/>
  <c r="B44" i="8"/>
  <c r="C45" i="8"/>
  <c r="AG48" i="2"/>
  <c r="AJ47" i="2"/>
  <c r="D15" i="8" l="1"/>
  <c r="B45" i="8"/>
  <c r="C46" i="8"/>
  <c r="AJ48" i="2"/>
  <c r="AG49" i="2"/>
  <c r="D16" i="8" l="1"/>
  <c r="B46" i="8"/>
  <c r="C47" i="8"/>
  <c r="AJ49" i="2"/>
  <c r="AG50" i="2"/>
  <c r="D17" i="8" l="1"/>
  <c r="B47" i="8"/>
  <c r="C48" i="8"/>
  <c r="AJ50" i="2"/>
  <c r="AG51" i="2"/>
  <c r="D18" i="8" l="1"/>
  <c r="B48" i="8"/>
  <c r="C49" i="8"/>
  <c r="AJ51" i="2"/>
  <c r="AG52" i="2"/>
  <c r="D19" i="8" l="1"/>
  <c r="B49" i="8"/>
  <c r="C50" i="8"/>
  <c r="AG53" i="2"/>
  <c r="AJ52" i="2"/>
  <c r="D20" i="8" l="1"/>
  <c r="C51" i="8"/>
  <c r="B50" i="8"/>
  <c r="AG54" i="2"/>
  <c r="AJ53" i="2"/>
  <c r="D21" i="8" l="1"/>
  <c r="C52" i="8"/>
  <c r="B51" i="8"/>
  <c r="AJ54" i="2"/>
  <c r="AG55" i="2"/>
  <c r="D22" i="8" l="1"/>
  <c r="B52" i="8"/>
  <c r="C53" i="8"/>
  <c r="AG56" i="2"/>
  <c r="AJ55" i="2"/>
  <c r="D23" i="8" l="1"/>
  <c r="C54" i="8"/>
  <c r="B53" i="8"/>
  <c r="AG57" i="2"/>
  <c r="AJ56" i="2"/>
  <c r="D24" i="8" l="1"/>
  <c r="C55" i="8"/>
  <c r="B54" i="8"/>
  <c r="AG58" i="2"/>
  <c r="AJ57" i="2"/>
  <c r="D25" i="8" l="1"/>
  <c r="B55" i="8"/>
  <c r="C56" i="8"/>
  <c r="AG59" i="2"/>
  <c r="AJ58" i="2"/>
  <c r="D26" i="8" l="1"/>
  <c r="B56" i="8"/>
  <c r="C57" i="8"/>
  <c r="AG60" i="2"/>
  <c r="AJ59" i="2"/>
  <c r="D27" i="8" l="1"/>
  <c r="B57" i="8"/>
  <c r="C58" i="8"/>
  <c r="AG61" i="2"/>
  <c r="AJ60" i="2"/>
  <c r="D28" i="8" l="1"/>
  <c r="C59" i="8"/>
  <c r="B58" i="8"/>
  <c r="AG62" i="2"/>
  <c r="AJ61" i="2"/>
  <c r="D29" i="8" l="1"/>
  <c r="B59" i="8"/>
  <c r="C60" i="8"/>
  <c r="AG63" i="2"/>
  <c r="AJ62" i="2"/>
  <c r="D30" i="8" l="1"/>
  <c r="B60" i="8"/>
  <c r="C61" i="8"/>
  <c r="AG64" i="2"/>
  <c r="AJ63" i="2"/>
  <c r="D31" i="8" l="1"/>
  <c r="B61" i="8"/>
  <c r="C62" i="8"/>
  <c r="AJ64" i="2"/>
  <c r="AG65" i="2"/>
  <c r="D32" i="8" l="1"/>
  <c r="C63" i="8"/>
  <c r="B62" i="8"/>
  <c r="AJ65" i="2"/>
  <c r="AG66" i="2"/>
  <c r="D33" i="8" l="1"/>
  <c r="C64" i="8"/>
  <c r="B63" i="8"/>
  <c r="AJ66" i="2"/>
  <c r="AG67" i="2"/>
  <c r="D34" i="8" l="1"/>
  <c r="B64" i="8"/>
  <c r="C65" i="8"/>
  <c r="AG68" i="2"/>
  <c r="AJ67" i="2"/>
  <c r="D64" i="8" l="1"/>
  <c r="D35" i="8"/>
  <c r="B65" i="8"/>
  <c r="C66" i="8"/>
  <c r="AJ68" i="2"/>
  <c r="AG69" i="2"/>
  <c r="D65" i="8" l="1"/>
  <c r="D36" i="8"/>
  <c r="C67" i="8"/>
  <c r="B66" i="8"/>
  <c r="AG70" i="2"/>
  <c r="AJ69" i="2"/>
  <c r="D66" i="8" l="1"/>
  <c r="D37" i="8"/>
  <c r="C68" i="8"/>
  <c r="B67" i="8"/>
  <c r="AJ70" i="2"/>
  <c r="AG71" i="2"/>
  <c r="D67" i="8" l="1"/>
  <c r="D38" i="8"/>
  <c r="B68" i="8"/>
  <c r="C69" i="8"/>
  <c r="AJ71" i="2"/>
  <c r="AG72" i="2"/>
  <c r="D68" i="8" l="1"/>
  <c r="D39" i="8"/>
  <c r="C70" i="8"/>
  <c r="B69" i="8"/>
  <c r="AJ72" i="2"/>
  <c r="AG73" i="2"/>
  <c r="D69" i="8" l="1"/>
  <c r="D40" i="8"/>
  <c r="C71" i="8"/>
  <c r="B70" i="8"/>
  <c r="AJ73" i="2"/>
  <c r="AG74" i="2"/>
  <c r="D70" i="8" l="1"/>
  <c r="D41" i="8"/>
  <c r="C72" i="8"/>
  <c r="B71" i="8"/>
  <c r="AJ74" i="2"/>
  <c r="AG75" i="2"/>
  <c r="D71" i="8" l="1"/>
  <c r="D42" i="8"/>
  <c r="B72" i="8"/>
  <c r="C73" i="8"/>
  <c r="AJ75" i="2"/>
  <c r="AG76" i="2"/>
  <c r="D72" i="8" l="1"/>
  <c r="D43" i="8"/>
  <c r="B73" i="8"/>
  <c r="C74" i="8"/>
  <c r="AG77" i="2"/>
  <c r="AJ76" i="2"/>
  <c r="D73" i="8" l="1"/>
  <c r="D44" i="8"/>
  <c r="C75" i="8"/>
  <c r="B74" i="8"/>
  <c r="AG78" i="2"/>
  <c r="AJ77" i="2"/>
  <c r="D74" i="8" l="1"/>
  <c r="D45" i="8"/>
  <c r="C76" i="8"/>
  <c r="B75" i="8"/>
  <c r="AG79" i="2"/>
  <c r="AJ78" i="2"/>
  <c r="D75" i="8" l="1"/>
  <c r="D46" i="8"/>
  <c r="C77" i="8"/>
  <c r="B76" i="8"/>
  <c r="AG80" i="2"/>
  <c r="AJ79" i="2"/>
  <c r="D76" i="8" l="1"/>
  <c r="D47" i="8"/>
  <c r="B77" i="8"/>
  <c r="C78" i="8"/>
  <c r="AG81" i="2"/>
  <c r="AJ80" i="2"/>
  <c r="D77" i="8" l="1"/>
  <c r="D48" i="8"/>
  <c r="C79" i="8"/>
  <c r="B78" i="8"/>
  <c r="AJ81" i="2"/>
  <c r="AG82" i="2"/>
  <c r="D78" i="8" l="1"/>
  <c r="D49" i="8"/>
  <c r="C80" i="8"/>
  <c r="B79" i="8"/>
  <c r="AJ82" i="2"/>
  <c r="AG83" i="2"/>
  <c r="D79" i="8" l="1"/>
  <c r="D50" i="8"/>
  <c r="B80" i="8"/>
  <c r="C81" i="8"/>
  <c r="AJ83" i="2"/>
  <c r="AG84" i="2"/>
  <c r="D80" i="8" l="1"/>
  <c r="D51" i="8"/>
  <c r="B81" i="8"/>
  <c r="C82" i="8"/>
  <c r="AJ84" i="2"/>
  <c r="AG85" i="2"/>
  <c r="D81" i="8" l="1"/>
  <c r="D52" i="8"/>
  <c r="C83" i="8"/>
  <c r="B82" i="8"/>
  <c r="AG86" i="2"/>
  <c r="AJ85" i="2"/>
  <c r="D82" i="8" l="1"/>
  <c r="D53" i="8"/>
  <c r="C84" i="8"/>
  <c r="B83" i="8"/>
  <c r="AG87" i="2"/>
  <c r="AJ86" i="2"/>
  <c r="D83" i="8" l="1"/>
  <c r="D54" i="8"/>
  <c r="B84" i="8"/>
  <c r="C85" i="8"/>
  <c r="AG88" i="2"/>
  <c r="AJ87" i="2"/>
  <c r="D84" i="8" l="1"/>
  <c r="D55" i="8"/>
  <c r="C86" i="8"/>
  <c r="B85" i="8"/>
  <c r="AG89" i="2"/>
  <c r="AJ88" i="2"/>
  <c r="D85" i="8" l="1"/>
  <c r="D56" i="8"/>
  <c r="C87" i="8"/>
  <c r="B86" i="8"/>
  <c r="AJ89" i="2"/>
  <c r="AG90" i="2"/>
  <c r="D86" i="8" l="1"/>
  <c r="D57" i="8"/>
  <c r="C88" i="8"/>
  <c r="B87" i="8"/>
  <c r="AJ90" i="2"/>
  <c r="AG91" i="2"/>
  <c r="AJ91" i="2" s="1"/>
  <c r="D87" i="8" l="1"/>
  <c r="D58" i="8"/>
  <c r="B88" i="8"/>
  <c r="C89" i="8"/>
  <c r="AH2" i="2"/>
  <c r="AD71" i="2" s="1"/>
  <c r="P2" i="2"/>
  <c r="AI2" i="2"/>
  <c r="AD72" i="2" s="1"/>
  <c r="D88" i="8" l="1"/>
  <c r="D59" i="8"/>
  <c r="B89" i="8"/>
  <c r="C90" i="8"/>
  <c r="L28" i="2"/>
  <c r="T11" i="2"/>
  <c r="D89" i="8" l="1"/>
  <c r="D60" i="8"/>
  <c r="D93" i="8" s="1"/>
  <c r="B90" i="8"/>
  <c r="C91" i="8"/>
  <c r="B91" i="8" s="1"/>
  <c r="B92" i="8" s="1"/>
  <c r="D63" i="8" s="1"/>
  <c r="R40" i="2"/>
  <c r="Q40" i="2"/>
  <c r="D91" i="8" l="1"/>
  <c r="D62" i="8"/>
  <c r="D90" i="8"/>
  <c r="D95" i="8" s="1"/>
  <c r="D98" i="8" s="1"/>
  <c r="D61" i="8"/>
</calcChain>
</file>

<file path=xl/sharedStrings.xml><?xml version="1.0" encoding="utf-8"?>
<sst xmlns="http://schemas.openxmlformats.org/spreadsheetml/2006/main" count="260" uniqueCount="101">
  <si>
    <t>Τιμές Μετοχής Α</t>
  </si>
  <si>
    <t>Τιμές Μετοχής Β</t>
  </si>
  <si>
    <t>Τιμές Μετοχής Γ</t>
  </si>
  <si>
    <t>Απόδοση Μετοχής Α</t>
  </si>
  <si>
    <t>Απόδοση Μετοχής Β</t>
  </si>
  <si>
    <t>Απόδοση Μετοχής Γ</t>
  </si>
  <si>
    <t>COV(Α,Β)</t>
  </si>
  <si>
    <t>COV(Α,Γ)</t>
  </si>
  <si>
    <t>COV(Β,Γ)</t>
  </si>
  <si>
    <t>VAR απόδοσης Μετοχής Α</t>
  </si>
  <si>
    <t>VAR Απόδοσης Μετοχής Γ</t>
  </si>
  <si>
    <t>Μέση Τιμή Απόδοσης Α</t>
  </si>
  <si>
    <t>Μέση Τιμή Απόδοσης Β</t>
  </si>
  <si>
    <t>Μέση Τιμή Απόδοσης Γ</t>
  </si>
  <si>
    <t>VAR Απόδοσης Μετοχής Β</t>
  </si>
  <si>
    <t>η ποσότητα που θέλουμε να ελαχιστοποιήσουμε</t>
  </si>
  <si>
    <t>προϋπόθεση 1</t>
  </si>
  <si>
    <t xml:space="preserve">να είναι ίσο με </t>
  </si>
  <si>
    <t>προϋπόθεση 2</t>
  </si>
  <si>
    <t>Ποσό για Επένδυση</t>
  </si>
  <si>
    <t>Ποσό για μετοχή Α</t>
  </si>
  <si>
    <t>Ποσό για μετοχή Β</t>
  </si>
  <si>
    <t>Ποσό για μετοχή Γ</t>
  </si>
  <si>
    <t>Άθροισμα</t>
  </si>
  <si>
    <t>u*d</t>
  </si>
  <si>
    <t>Πλήθος Μετοχών</t>
  </si>
  <si>
    <t>Σημερινή Αξία Χαρτοφυλακίου</t>
  </si>
  <si>
    <t>Σημερινή Αξία Μετοχής Α</t>
  </si>
  <si>
    <t>Σημερινή Αξία Μετοχής Β</t>
  </si>
  <si>
    <t>Σημερινή Αξία Μετοχής Γ</t>
  </si>
  <si>
    <t>w1=</t>
  </si>
  <si>
    <t>w2=</t>
  </si>
  <si>
    <t>w3=</t>
  </si>
  <si>
    <t>Πίνακας Συνδιακυμάνσεων</t>
  </si>
  <si>
    <t>Α</t>
  </si>
  <si>
    <t>Β</t>
  </si>
  <si>
    <t>Γ</t>
  </si>
  <si>
    <t>m1=</t>
  </si>
  <si>
    <t>m2=</t>
  </si>
  <si>
    <t>m3=</t>
  </si>
  <si>
    <t>Μέσες Τιμές Αποδόσεων Μετοχών</t>
  </si>
  <si>
    <t>Αποτέλεσμα Βελτιστοποίησης</t>
  </si>
  <si>
    <t>Close</t>
  </si>
  <si>
    <t>u</t>
  </si>
  <si>
    <t>d</t>
  </si>
  <si>
    <t>Ρυθμοί ανόδου και καθόδου μετοχών</t>
  </si>
  <si>
    <t>σ=</t>
  </si>
  <si>
    <t>Η ζητούμενη μέση απόδοση m0 του χαρτοφυλακίου και σ η διακύμανσή του</t>
  </si>
  <si>
    <t>m0=</t>
  </si>
  <si>
    <t>Οδηγίες χρήσης του εργαλείου βελτιστοποίησης χαρτοφυλακίου</t>
  </si>
  <si>
    <t xml:space="preserve"> Για να γίνει αυτό θα επιλέξετε Αρχείο -&gt; Επιλογές -&gt; Πρόσθετα και θα προσθέσετε το πρόσθετο επίλυσης.</t>
  </si>
  <si>
    <t xml:space="preserve">2). Στις τρεις πρώτες στήλες, A,B,C θα τοποθετήσετε τις τιμές των μετοχών. </t>
  </si>
  <si>
    <t>Μπορεί να είναι ανά ημέρα, εβδομάδα ή όποια περίοδο σας ενδιαφέρει.</t>
  </si>
  <si>
    <t xml:space="preserve">4) Για να υπολογίσουμε τα w1,w2,w3 τα οποία είναι τα βάρη των μετοχών </t>
  </si>
  <si>
    <t xml:space="preserve">5) Τοποθετώντας το ποσό που μας ενδιαφέρει να επενδύσουμε θα πάρουμε ως αποτέλεσμα το πλήθος των μετοχών που πρέπει να έχει το χαρτοφυλάκιο από κάθε μετοχή. </t>
  </si>
  <si>
    <t>3) Θα δημιουργηθεί αυτόματα ο πίνακας συνδιακυμάνσεων των τριων μετοχών,</t>
  </si>
  <si>
    <r>
      <t xml:space="preserve">1) Θα πρέπει να ενεργοποιηθεί ένα πρόσθετο το οποίο ονομάζεται </t>
    </r>
    <r>
      <rPr>
        <sz val="11"/>
        <color theme="5"/>
        <rFont val="Calibri"/>
        <family val="2"/>
        <charset val="161"/>
        <scheme val="minor"/>
      </rPr>
      <t>πρόσθετο επίλυσης (SOLVER)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</si>
  <si>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 xml:space="preserve">όπως και  οι μέσες τιμές των αποδόσεων των μετοχών καθώς και οι ρυθμοί ανόδου και καθόδου της κάθε μετοχής. </t>
  </si>
  <si>
    <t>από τις οποίες θα αποτελείται το χαρτοφυλάκιο θα πρέπει να πατήσουμε το επίλυση το οποίο βρίσκεται στα Δεδομένα αφού πρώτα επιλέξουμε την ζητούμενη απόδοση m0.</t>
  </si>
  <si>
    <t>To m0 που θα επιλέξετε πρέπει να βρίσκεται στους δυο επόμενους αριθμούς</t>
  </si>
  <si>
    <t xml:space="preserve">Ευρώ είναι </t>
  </si>
  <si>
    <t xml:space="preserve">Με πιθανότητα ίση με </t>
  </si>
  <si>
    <t xml:space="preserve">Κίνδυνος Χρεοκοπίας </t>
  </si>
  <si>
    <t xml:space="preserve">Ευρώ </t>
  </si>
  <si>
    <t xml:space="preserve">θα χάσουμε σε μια περίοδο περισσότερα από </t>
  </si>
  <si>
    <t xml:space="preserve">Η πιθανότητα η ζημιά, ανά περίοδο, να ξεπεράσει το ποσό των </t>
  </si>
  <si>
    <t>η ποσότητα που θέλουμε να μεγιστοποιήσουμε</t>
  </si>
  <si>
    <t xml:space="preserve">Η μέση απόδοση και η διακύμανση της απόδοσης με την μέγιστη διαφορά </t>
  </si>
  <si>
    <t xml:space="preserve">4) Για να υπολογίσουμε τα w1,w2 τα οποία είναι τα βάρη των μετοχών </t>
  </si>
  <si>
    <t>από τις οποίες θα αποτελείται το χαρτοφυλάκιο θα πρέπει να πατήσουμε το επίλυση το οποίο βρίσκεται στα Δεδομένα.</t>
  </si>
  <si>
    <t>από τις οποίες θα αποτελείται το χαρτοφυλάκιο θα πρέπει να πατήσουμε το επίλυση το οποίο βρίσκεται στα Δεδομένα αφού πρώτα επιλέξουμε την ζητούμενη διακύμανση σ.</t>
  </si>
  <si>
    <t xml:space="preserve">Μπορείτε να κατεβάσετε το ανάλογο αρχείο PDF από  </t>
  </si>
  <si>
    <t>εδώ</t>
  </si>
  <si>
    <t>r=</t>
  </si>
  <si>
    <t>K=</t>
  </si>
  <si>
    <t>Call=</t>
  </si>
  <si>
    <t>Put=</t>
  </si>
  <si>
    <t>q=</t>
  </si>
  <si>
    <t>N=0</t>
  </si>
  <si>
    <t>N=1</t>
  </si>
  <si>
    <t>N=2</t>
  </si>
  <si>
    <t>δ=</t>
  </si>
  <si>
    <t>rr=</t>
  </si>
  <si>
    <t>L0(S0)=</t>
  </si>
  <si>
    <t>T=</t>
  </si>
  <si>
    <t>Τ=</t>
  </si>
  <si>
    <t>Amer. Call=</t>
  </si>
  <si>
    <t xml:space="preserve">Amer. Put = </t>
  </si>
  <si>
    <t>Eur. Call=</t>
  </si>
  <si>
    <t>Eur. Put=</t>
  </si>
  <si>
    <t>Ευρώ ανά περίοδο</t>
  </si>
  <si>
    <t xml:space="preserve">βέβαιοι ότι </t>
  </si>
  <si>
    <t>`</t>
  </si>
  <si>
    <t xml:space="preserve">Η μέση τιμή της ζημιάς δεδομένου ότι θα ξεπεράσει το ποσό των </t>
  </si>
  <si>
    <t>Ανάλογα την ερώτηση, τοποθετήστε στα κελιά με μπλε χρώμα παρακάτω τα νούμερα και η απάντηση θα δοθεί στα κελιά με κόκκινο χρώμα</t>
  </si>
  <si>
    <t>3) Θα δημιουργηθεί αυτόματα ο πίνακας συνδιακυμάνσεων των τριών μετοχών,</t>
  </si>
  <si>
    <t xml:space="preserve">Υπολογίζουμε την απολαβή ενός multi-asset option με τρεις υποκείμενες μετοχές. Ο τύπος της απολαβής είναι </t>
  </si>
  <si>
    <t xml:space="preserve">Παρακάτω είναι το γράφημα των απολαβών για τις τελευταίες 90 ημέρες. </t>
  </si>
  <si>
    <t xml:space="preserve">Η μέση τιμή των απολαβών είναι </t>
  </si>
  <si>
    <t xml:space="preserve">Η διακύμανση των απολαβών είναι </t>
  </si>
  <si>
    <t>Ευρώ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</si>
</sst>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11"/>
      <color theme="3"/>
      <name val="Calibri"/>
      <family val="2"/>
      <charset val="161"/>
      <scheme val="minor"/>
    </font>
    <font>
      <b/>
      <sz val="11"/>
      <color theme="4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4"/>
      <color rgb="FF002060"/>
      <name val="Bookman Old Style"/>
      <family val="1"/>
      <charset val="161"/>
    </font>
    <font>
      <sz val="14"/>
      <color theme="1"/>
      <name val="Calibri"/>
      <family val="2"/>
      <charset val="161"/>
      <scheme val="minor"/>
    </font>
    <font>
      <b/>
      <sz val="11"/>
      <color theme="4" tint="0.39997558519241921"/>
      <name val="Calibri"/>
      <family val="2"/>
      <charset val="161"/>
      <scheme val="minor"/>
    </font>
    <font>
      <sz val="11"/>
      <color theme="5"/>
      <name val="Calibri"/>
      <family val="2"/>
      <charset val="161"/>
      <scheme val="minor"/>
    </font>
    <font>
      <b/>
      <sz val="14"/>
      <color theme="4" tint="-0.249977111117893"/>
      <name val="Calibri"/>
      <family val="2"/>
      <charset val="161"/>
      <scheme val="minor"/>
    </font>
    <font>
      <sz val="11"/>
      <color rgb="FF00206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6"/>
      <color theme="0"/>
      <name val="Calibri"/>
      <family val="2"/>
      <charset val="161"/>
      <scheme val="minor"/>
    </font>
    <font>
      <b/>
      <sz val="14"/>
      <color rgb="FF00B05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u/>
      <sz val="11"/>
      <color theme="2" tint="-0.749992370372631"/>
      <name val="Calibri"/>
      <family val="2"/>
      <charset val="161"/>
      <scheme val="minor"/>
    </font>
    <font>
      <u/>
      <sz val="11"/>
      <color theme="3" tint="-0.499984740745262"/>
      <name val="Calibri"/>
      <family val="2"/>
      <charset val="161"/>
      <scheme val="minor"/>
    </font>
    <font>
      <sz val="11"/>
      <color theme="4" tint="-0.249977111117893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theme="4"/>
      <name val="Calibri"/>
      <family val="2"/>
      <charset val="161"/>
      <scheme val="minor"/>
    </font>
    <font>
      <sz val="11"/>
      <color theme="8" tint="-0.249977111117893"/>
      <name val="Calibri"/>
      <family val="2"/>
      <charset val="161"/>
      <scheme val="minor"/>
    </font>
    <font>
      <sz val="11"/>
      <color rgb="FFC00000"/>
      <name val="Calibri"/>
      <family val="2"/>
      <scheme val="minor"/>
    </font>
    <font>
      <sz val="14"/>
      <color theme="4"/>
      <name val="Calibri"/>
      <family val="2"/>
      <charset val="161"/>
      <scheme val="minor"/>
    </font>
    <font>
      <sz val="12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Calibri"/>
      <family val="2"/>
      <charset val="161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7" fillId="0" borderId="0" applyNumberFormat="0" applyFill="0" applyBorder="0" applyAlignment="0" applyProtection="0"/>
  </cellStyleXfs>
  <cellXfs count="79">
    <xf numFmtId="0" fontId="0" fillId="0" borderId="0" xfId="0"/>
    <xf numFmtId="0" fontId="19" fillId="0" borderId="0" xfId="0" applyFont="1"/>
    <xf numFmtId="0" fontId="20" fillId="33" borderId="0" xfId="0" applyFont="1" applyFill="1"/>
    <xf numFmtId="0" fontId="0" fillId="33" borderId="0" xfId="0" applyFill="1"/>
    <xf numFmtId="0" fontId="21" fillId="33" borderId="0" xfId="0" applyFont="1" applyFill="1"/>
    <xf numFmtId="0" fontId="22" fillId="33" borderId="0" xfId="0" applyFont="1" applyFill="1"/>
    <xf numFmtId="0" fontId="19" fillId="34" borderId="0" xfId="0" applyFont="1" applyFill="1"/>
    <xf numFmtId="0" fontId="0" fillId="34" borderId="0" xfId="0" applyFill="1"/>
    <xf numFmtId="0" fontId="24" fillId="33" borderId="11" xfId="0" applyFont="1" applyFill="1" applyBorder="1" applyAlignment="1">
      <alignment horizontal="left" vertical="top" indent="1"/>
    </xf>
    <xf numFmtId="0" fontId="14" fillId="33" borderId="12" xfId="0" applyFont="1" applyFill="1" applyBorder="1" applyAlignment="1">
      <alignment horizontal="left" vertical="top" indent="1"/>
    </xf>
    <xf numFmtId="0" fontId="23" fillId="33" borderId="13" xfId="0" applyFont="1" applyFill="1" applyBorder="1"/>
    <xf numFmtId="0" fontId="0" fillId="33" borderId="13" xfId="0" applyFill="1" applyBorder="1"/>
    <xf numFmtId="0" fontId="0" fillId="33" borderId="14" xfId="0" applyFill="1" applyBorder="1"/>
    <xf numFmtId="0" fontId="0" fillId="35" borderId="0" xfId="0" applyFill="1"/>
    <xf numFmtId="0" fontId="0" fillId="36" borderId="0" xfId="0" applyFill="1"/>
    <xf numFmtId="0" fontId="25" fillId="36" borderId="0" xfId="0" applyFont="1" applyFill="1"/>
    <xf numFmtId="0" fontId="0" fillId="37" borderId="0" xfId="0" applyFill="1"/>
    <xf numFmtId="0" fontId="0" fillId="37" borderId="16" xfId="0" applyFill="1" applyBorder="1"/>
    <xf numFmtId="0" fontId="0" fillId="38" borderId="0" xfId="0" applyFill="1"/>
    <xf numFmtId="0" fontId="0" fillId="38" borderId="17" xfId="0" applyFill="1" applyBorder="1"/>
    <xf numFmtId="0" fontId="19" fillId="38" borderId="0" xfId="0" applyFont="1" applyFill="1"/>
    <xf numFmtId="0" fontId="19" fillId="39" borderId="0" xfId="0" applyFont="1" applyFill="1" applyBorder="1"/>
    <xf numFmtId="0" fontId="0" fillId="39" borderId="0" xfId="0" applyFill="1"/>
    <xf numFmtId="0" fontId="0" fillId="39" borderId="0" xfId="0" applyFill="1" applyBorder="1"/>
    <xf numFmtId="0" fontId="19" fillId="40" borderId="0" xfId="0" applyFont="1" applyFill="1"/>
    <xf numFmtId="0" fontId="0" fillId="40" borderId="0" xfId="0" applyFill="1"/>
    <xf numFmtId="0" fontId="0" fillId="40" borderId="0" xfId="0" applyFill="1" applyBorder="1"/>
    <xf numFmtId="0" fontId="26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0" fillId="41" borderId="0" xfId="0" applyFill="1"/>
    <xf numFmtId="0" fontId="0" fillId="41" borderId="0" xfId="0" applyFill="1" applyBorder="1"/>
    <xf numFmtId="0" fontId="0" fillId="38" borderId="12" xfId="0" applyFill="1" applyBorder="1"/>
    <xf numFmtId="0" fontId="0" fillId="38" borderId="18" xfId="0" applyFill="1" applyBorder="1"/>
    <xf numFmtId="0" fontId="0" fillId="38" borderId="19" xfId="0" applyFill="1" applyBorder="1"/>
    <xf numFmtId="0" fontId="27" fillId="42" borderId="0" xfId="0" applyFont="1" applyFill="1"/>
    <xf numFmtId="0" fontId="0" fillId="42" borderId="0" xfId="0" applyFill="1"/>
    <xf numFmtId="0" fontId="28" fillId="42" borderId="0" xfId="0" applyFont="1" applyFill="1" applyBorder="1"/>
    <xf numFmtId="0" fontId="18" fillId="35" borderId="15" xfId="0" applyFont="1" applyFill="1" applyBorder="1" applyAlignment="1">
      <alignment vertical="center" wrapText="1"/>
    </xf>
    <xf numFmtId="0" fontId="29" fillId="41" borderId="0" xfId="0" applyFont="1" applyFill="1"/>
    <xf numFmtId="0" fontId="19" fillId="43" borderId="0" xfId="0" applyFont="1" applyFill="1"/>
    <xf numFmtId="0" fontId="0" fillId="43" borderId="0" xfId="0" applyFill="1"/>
    <xf numFmtId="0" fontId="19" fillId="44" borderId="0" xfId="0" applyFont="1" applyFill="1"/>
    <xf numFmtId="0" fontId="0" fillId="44" borderId="0" xfId="0" applyFill="1"/>
    <xf numFmtId="0" fontId="31" fillId="0" borderId="0" xfId="0" applyFont="1"/>
    <xf numFmtId="0" fontId="19" fillId="45" borderId="0" xfId="0" applyFont="1" applyFill="1"/>
    <xf numFmtId="0" fontId="0" fillId="45" borderId="0" xfId="0" applyFill="1"/>
    <xf numFmtId="0" fontId="16" fillId="0" borderId="0" xfId="0" applyFont="1"/>
    <xf numFmtId="0" fontId="32" fillId="34" borderId="0" xfId="0" applyFont="1" applyFill="1"/>
    <xf numFmtId="0" fontId="33" fillId="34" borderId="0" xfId="0" applyFont="1" applyFill="1"/>
    <xf numFmtId="0" fontId="34" fillId="47" borderId="0" xfId="0" applyFont="1" applyFill="1"/>
    <xf numFmtId="0" fontId="28" fillId="46" borderId="0" xfId="0" applyFont="1" applyFill="1"/>
    <xf numFmtId="0" fontId="35" fillId="0" borderId="0" xfId="0" applyFont="1"/>
    <xf numFmtId="2" fontId="0" fillId="0" borderId="0" xfId="0" applyNumberFormat="1"/>
    <xf numFmtId="0" fontId="36" fillId="43" borderId="0" xfId="0" applyFont="1" applyFill="1"/>
    <xf numFmtId="0" fontId="39" fillId="43" borderId="0" xfId="42" applyFont="1" applyFill="1"/>
    <xf numFmtId="0" fontId="38" fillId="43" borderId="0" xfId="42" applyFont="1" applyFill="1"/>
    <xf numFmtId="0" fontId="0" fillId="48" borderId="0" xfId="0" applyFill="1"/>
    <xf numFmtId="0" fontId="0" fillId="46" borderId="0" xfId="0" applyFill="1"/>
    <xf numFmtId="0" fontId="0" fillId="35" borderId="0" xfId="0" applyFont="1" applyFill="1"/>
    <xf numFmtId="0" fontId="18" fillId="0" borderId="15" xfId="0" applyFont="1" applyFill="1" applyBorder="1" applyAlignment="1">
      <alignment vertical="center" wrapText="1"/>
    </xf>
    <xf numFmtId="0" fontId="40" fillId="48" borderId="0" xfId="0" applyFont="1" applyFill="1"/>
    <xf numFmtId="0" fontId="0" fillId="48" borderId="0" xfId="0" applyFont="1" applyFill="1"/>
    <xf numFmtId="0" fontId="0" fillId="49" borderId="0" xfId="0" applyFill="1"/>
    <xf numFmtId="2" fontId="0" fillId="49" borderId="0" xfId="0" applyNumberFormat="1" applyFill="1"/>
    <xf numFmtId="0" fontId="0" fillId="50" borderId="0" xfId="0" applyFill="1"/>
    <xf numFmtId="0" fontId="36" fillId="50" borderId="0" xfId="0" applyFont="1" applyFill="1"/>
    <xf numFmtId="0" fontId="41" fillId="0" borderId="0" xfId="0" applyFont="1"/>
    <xf numFmtId="0" fontId="42" fillId="0" borderId="0" xfId="0" applyFont="1"/>
    <xf numFmtId="0" fontId="43" fillId="0" borderId="0" xfId="0" applyFont="1" applyAlignment="1">
      <alignment wrapText="1"/>
    </xf>
    <xf numFmtId="0" fontId="0" fillId="45" borderId="0" xfId="0" applyFill="1" applyAlignment="1">
      <alignment wrapText="1"/>
    </xf>
    <xf numFmtId="0" fontId="41" fillId="45" borderId="0" xfId="0" applyFont="1" applyFill="1" applyAlignment="1">
      <alignment wrapText="1"/>
    </xf>
    <xf numFmtId="0" fontId="14" fillId="0" borderId="0" xfId="0" applyFont="1"/>
    <xf numFmtId="0" fontId="0" fillId="0" borderId="0" xfId="0" applyFont="1"/>
    <xf numFmtId="0" fontId="44" fillId="0" borderId="0" xfId="0" applyFont="1"/>
    <xf numFmtId="0" fontId="45" fillId="0" borderId="0" xfId="0" applyFont="1" applyAlignment="1">
      <alignment wrapText="1"/>
    </xf>
    <xf numFmtId="0" fontId="46" fillId="44" borderId="0" xfId="0" applyFont="1" applyFill="1"/>
    <xf numFmtId="0" fontId="47" fillId="44" borderId="0" xfId="0" applyFont="1" applyFill="1"/>
    <xf numFmtId="3" fontId="48" fillId="0" borderId="10" xfId="0" applyNumberFormat="1" applyFont="1" applyBorder="1" applyAlignment="1">
      <alignment vertical="center" wrapText="1"/>
    </xf>
    <xf numFmtId="0" fontId="49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'Ελάχιστη Διακύμανση'!$AJ$2:$AJ$91</c:f>
              <c:numCache>
                <c:formatCode>General</c:formatCode>
                <c:ptCount val="90"/>
                <c:pt idx="0">
                  <c:v>1.7333333333333201E-2</c:v>
                </c:pt>
                <c:pt idx="1">
                  <c:v>3.0333333333333323E-2</c:v>
                </c:pt>
                <c:pt idx="2">
                  <c:v>7.6666666666666661E-2</c:v>
                </c:pt>
                <c:pt idx="3">
                  <c:v>0.1493333333333331</c:v>
                </c:pt>
                <c:pt idx="4">
                  <c:v>0.17533333333333334</c:v>
                </c:pt>
                <c:pt idx="5">
                  <c:v>0.10766666666666658</c:v>
                </c:pt>
                <c:pt idx="6">
                  <c:v>0.10133333333333328</c:v>
                </c:pt>
                <c:pt idx="7">
                  <c:v>9.7333333333333272E-2</c:v>
                </c:pt>
                <c:pt idx="8">
                  <c:v>0.10399999999999987</c:v>
                </c:pt>
                <c:pt idx="9">
                  <c:v>0.1253333333333333</c:v>
                </c:pt>
                <c:pt idx="10">
                  <c:v>0.1186666666666667</c:v>
                </c:pt>
                <c:pt idx="11">
                  <c:v>0.11466666666666669</c:v>
                </c:pt>
                <c:pt idx="12">
                  <c:v>0.11266666666666647</c:v>
                </c:pt>
                <c:pt idx="13">
                  <c:v>9.766666666666679E-2</c:v>
                </c:pt>
                <c:pt idx="14">
                  <c:v>0.10199999999999987</c:v>
                </c:pt>
                <c:pt idx="15">
                  <c:v>0.10033333333333339</c:v>
                </c:pt>
                <c:pt idx="16">
                  <c:v>8.9999999999999858E-2</c:v>
                </c:pt>
                <c:pt idx="17">
                  <c:v>8.6333333333333373E-2</c:v>
                </c:pt>
                <c:pt idx="18">
                  <c:v>7.8666666666666663E-2</c:v>
                </c:pt>
                <c:pt idx="19">
                  <c:v>9.1333333333333266E-2</c:v>
                </c:pt>
                <c:pt idx="20">
                  <c:v>8.8666666666666671E-2</c:v>
                </c:pt>
                <c:pt idx="21">
                  <c:v>9.1333333333333266E-2</c:v>
                </c:pt>
                <c:pt idx="22">
                  <c:v>0.10533333333333328</c:v>
                </c:pt>
                <c:pt idx="23">
                  <c:v>0.12599999999999989</c:v>
                </c:pt>
                <c:pt idx="24">
                  <c:v>0.12099999999999977</c:v>
                </c:pt>
                <c:pt idx="25">
                  <c:v>8.8666666666666449E-2</c:v>
                </c:pt>
                <c:pt idx="26">
                  <c:v>7.8333333333333144E-2</c:v>
                </c:pt>
                <c:pt idx="27">
                  <c:v>9.6666666666666456E-2</c:v>
                </c:pt>
                <c:pt idx="28">
                  <c:v>0.11599999999999988</c:v>
                </c:pt>
                <c:pt idx="29">
                  <c:v>0.13933333333333331</c:v>
                </c:pt>
                <c:pt idx="30">
                  <c:v>0.121</c:v>
                </c:pt>
                <c:pt idx="31">
                  <c:v>0.10833333333333317</c:v>
                </c:pt>
                <c:pt idx="32">
                  <c:v>0.13733333333333309</c:v>
                </c:pt>
                <c:pt idx="33">
                  <c:v>0.14366666666666661</c:v>
                </c:pt>
                <c:pt idx="34">
                  <c:v>0.14200000000000013</c:v>
                </c:pt>
                <c:pt idx="35">
                  <c:v>0.16933333333333311</c:v>
                </c:pt>
                <c:pt idx="36">
                  <c:v>0.17933333333333312</c:v>
                </c:pt>
                <c:pt idx="37">
                  <c:v>0.15666666666666651</c:v>
                </c:pt>
                <c:pt idx="38">
                  <c:v>0.18933333333333313</c:v>
                </c:pt>
                <c:pt idx="39">
                  <c:v>0.17033333333333323</c:v>
                </c:pt>
                <c:pt idx="40">
                  <c:v>0.21433333333333326</c:v>
                </c:pt>
                <c:pt idx="41">
                  <c:v>0.23533333333333339</c:v>
                </c:pt>
                <c:pt idx="42">
                  <c:v>0.25133333333333341</c:v>
                </c:pt>
                <c:pt idx="43">
                  <c:v>0.2563333333333333</c:v>
                </c:pt>
                <c:pt idx="44">
                  <c:v>0.2566666666666666</c:v>
                </c:pt>
                <c:pt idx="45">
                  <c:v>0.27533333333333299</c:v>
                </c:pt>
                <c:pt idx="46">
                  <c:v>0.28999999999999981</c:v>
                </c:pt>
                <c:pt idx="47">
                  <c:v>0.26</c:v>
                </c:pt>
                <c:pt idx="48">
                  <c:v>0.22666666666666657</c:v>
                </c:pt>
                <c:pt idx="49">
                  <c:v>0.24933333333333318</c:v>
                </c:pt>
                <c:pt idx="50">
                  <c:v>0.28433333333333333</c:v>
                </c:pt>
                <c:pt idx="51">
                  <c:v>0.2783333333333331</c:v>
                </c:pt>
                <c:pt idx="52">
                  <c:v>0.29066666666666641</c:v>
                </c:pt>
                <c:pt idx="53">
                  <c:v>0.29533333333333323</c:v>
                </c:pt>
                <c:pt idx="54">
                  <c:v>0.32333333333333303</c:v>
                </c:pt>
                <c:pt idx="55">
                  <c:v>0.31799999999999984</c:v>
                </c:pt>
                <c:pt idx="56">
                  <c:v>0.31000000000000005</c:v>
                </c:pt>
                <c:pt idx="57">
                  <c:v>0.28133333333333321</c:v>
                </c:pt>
                <c:pt idx="58">
                  <c:v>0.18366666666666664</c:v>
                </c:pt>
                <c:pt idx="59">
                  <c:v>0.19966666666666666</c:v>
                </c:pt>
                <c:pt idx="60">
                  <c:v>0.18633333333333324</c:v>
                </c:pt>
                <c:pt idx="61">
                  <c:v>0.25299999999999967</c:v>
                </c:pt>
                <c:pt idx="62">
                  <c:v>0.25399999999999978</c:v>
                </c:pt>
                <c:pt idx="63">
                  <c:v>0.254</c:v>
                </c:pt>
                <c:pt idx="64">
                  <c:v>0.26833333333333331</c:v>
                </c:pt>
                <c:pt idx="65">
                  <c:v>0.25366666666666648</c:v>
                </c:pt>
                <c:pt idx="66">
                  <c:v>0.23566666666666647</c:v>
                </c:pt>
                <c:pt idx="67">
                  <c:v>0.24899999999999989</c:v>
                </c:pt>
                <c:pt idx="68">
                  <c:v>0.28799999999999981</c:v>
                </c:pt>
                <c:pt idx="69">
                  <c:v>0.27499999999999991</c:v>
                </c:pt>
                <c:pt idx="70">
                  <c:v>0.2696666666666665</c:v>
                </c:pt>
                <c:pt idx="71">
                  <c:v>0.25766666666666671</c:v>
                </c:pt>
                <c:pt idx="72">
                  <c:v>0.24866666666666659</c:v>
                </c:pt>
                <c:pt idx="73">
                  <c:v>0.2433333333333334</c:v>
                </c:pt>
                <c:pt idx="74">
                  <c:v>0.25399999999999978</c:v>
                </c:pt>
                <c:pt idx="75">
                  <c:v>0.22700000000000009</c:v>
                </c:pt>
                <c:pt idx="76">
                  <c:v>0.2430000000000001</c:v>
                </c:pt>
                <c:pt idx="77">
                  <c:v>0.23766666666666647</c:v>
                </c:pt>
                <c:pt idx="78">
                  <c:v>0.21233333333333326</c:v>
                </c:pt>
                <c:pt idx="79">
                  <c:v>0.22266666666666657</c:v>
                </c:pt>
                <c:pt idx="80">
                  <c:v>0.18999999999999995</c:v>
                </c:pt>
                <c:pt idx="81">
                  <c:v>0.17833333333333323</c:v>
                </c:pt>
                <c:pt idx="82">
                  <c:v>0.16999999999999993</c:v>
                </c:pt>
                <c:pt idx="83">
                  <c:v>0.18699999999999983</c:v>
                </c:pt>
                <c:pt idx="84">
                  <c:v>0.12633333333333341</c:v>
                </c:pt>
                <c:pt idx="85">
                  <c:v>0.11899999999999999</c:v>
                </c:pt>
                <c:pt idx="86">
                  <c:v>6.2333333333333352E-2</c:v>
                </c:pt>
                <c:pt idx="87">
                  <c:v>6.1333333333333018E-2</c:v>
                </c:pt>
                <c:pt idx="88">
                  <c:v>3.2333333333333325E-2</c:v>
                </c:pt>
                <c:pt idx="89">
                  <c:v>9.3333333333331936E-3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1-4079-8E9A-5FB53B20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579487"/>
        <c:axId val="1262576575"/>
      </c:lineChart>
      <c:catAx>
        <c:axId val="12625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576575"/>
        <c:crosses val="autoZero"/>
        <c:auto val="1"/>
        <c:lblAlgn val="ctr"/>
        <c:lblOffset val="100"/>
        <c:noMultiLvlLbl val="0"/>
      </c:catAx>
      <c:valAx>
        <c:axId val="1262576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57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Κίνηση</a:t>
            </a:r>
            <a:r>
              <a:rPr lang="el-GR" baseline="0"/>
              <a:t> </a:t>
            </a:r>
            <a:r>
              <a:rPr lang="en-US" baseline="0"/>
              <a:t>Brown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387270778652668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Sheet1!$D$119:$D$204</c:f>
              <c:numCache>
                <c:formatCode>General</c:formatCode>
                <c:ptCount val="86"/>
                <c:pt idx="0">
                  <c:v>0</c:v>
                </c:pt>
                <c:pt idx="1">
                  <c:v>-0.60058333952889875</c:v>
                </c:pt>
                <c:pt idx="2">
                  <c:v>-3.1836750124460318</c:v>
                </c:pt>
                <c:pt idx="3">
                  <c:v>-2.9535021555449763</c:v>
                </c:pt>
                <c:pt idx="4">
                  <c:v>-1.6111274844824357</c:v>
                </c:pt>
                <c:pt idx="5">
                  <c:v>-0.94257405039627895</c:v>
                </c:pt>
                <c:pt idx="6">
                  <c:v>-2.2653321376967854</c:v>
                </c:pt>
                <c:pt idx="7">
                  <c:v>-2.7556219472017345</c:v>
                </c:pt>
                <c:pt idx="8">
                  <c:v>-3.3150216262190204</c:v>
                </c:pt>
                <c:pt idx="9">
                  <c:v>-3.2749124904282207</c:v>
                </c:pt>
                <c:pt idx="10">
                  <c:v>-4.0713437561111689</c:v>
                </c:pt>
                <c:pt idx="11">
                  <c:v>-3.2374719111346542</c:v>
                </c:pt>
                <c:pt idx="12">
                  <c:v>-3.5409615314128295</c:v>
                </c:pt>
                <c:pt idx="13">
                  <c:v>-3.6370164496108037</c:v>
                </c:pt>
                <c:pt idx="14">
                  <c:v>-4.1985511978076566</c:v>
                </c:pt>
                <c:pt idx="15">
                  <c:v>-3.299323111713194</c:v>
                </c:pt>
                <c:pt idx="16">
                  <c:v>-2.7059018262556216</c:v>
                </c:pt>
                <c:pt idx="17">
                  <c:v>-2.9118542853699774</c:v>
                </c:pt>
                <c:pt idx="18">
                  <c:v>-3.3953642011782534</c:v>
                </c:pt>
                <c:pt idx="19">
                  <c:v>-3.0116764790260193</c:v>
                </c:pt>
                <c:pt idx="20">
                  <c:v>-5.057847834604944</c:v>
                </c:pt>
                <c:pt idx="21">
                  <c:v>-5.0622123326615602</c:v>
                </c:pt>
                <c:pt idx="22">
                  <c:v>-5.2516311857346603</c:v>
                </c:pt>
                <c:pt idx="23">
                  <c:v>-5.4936714021986939</c:v>
                </c:pt>
                <c:pt idx="24">
                  <c:v>-5.4776983965355655</c:v>
                </c:pt>
                <c:pt idx="25">
                  <c:v>-5.6384100268525623</c:v>
                </c:pt>
                <c:pt idx="26">
                  <c:v>-4.7260810805616984</c:v>
                </c:pt>
                <c:pt idx="27">
                  <c:v>-4.5220552816110917</c:v>
                </c:pt>
                <c:pt idx="28">
                  <c:v>-6.3655593577210432</c:v>
                </c:pt>
                <c:pt idx="29">
                  <c:v>-5.9142362882913648</c:v>
                </c:pt>
                <c:pt idx="30">
                  <c:v>-5.17460844667964</c:v>
                </c:pt>
                <c:pt idx="31">
                  <c:v>-6.4595670055597907</c:v>
                </c:pt>
                <c:pt idx="32">
                  <c:v>-7.7630545771233068</c:v>
                </c:pt>
                <c:pt idx="33">
                  <c:v>-10.283993368831853</c:v>
                </c:pt>
                <c:pt idx="34">
                  <c:v>-10.925566485965559</c:v>
                </c:pt>
                <c:pt idx="35">
                  <c:v>-9.7074290272465831</c:v>
                </c:pt>
                <c:pt idx="36">
                  <c:v>-11.485869461002553</c:v>
                </c:pt>
                <c:pt idx="37">
                  <c:v>-11.708193161259574</c:v>
                </c:pt>
                <c:pt idx="38">
                  <c:v>-11.702327482541174</c:v>
                </c:pt>
                <c:pt idx="39">
                  <c:v>-10.739727323261917</c:v>
                </c:pt>
                <c:pt idx="40">
                  <c:v>-11.61179926537247</c:v>
                </c:pt>
                <c:pt idx="41">
                  <c:v>-10.22249726841952</c:v>
                </c:pt>
                <c:pt idx="42">
                  <c:v>-9.0707984110572237</c:v>
                </c:pt>
                <c:pt idx="43">
                  <c:v>-9.2179596057818802</c:v>
                </c:pt>
                <c:pt idx="44">
                  <c:v>-8.9807550407230679</c:v>
                </c:pt>
                <c:pt idx="45">
                  <c:v>-8.7579307923710861</c:v>
                </c:pt>
                <c:pt idx="46">
                  <c:v>-8.5569523990402896</c:v>
                </c:pt>
                <c:pt idx="47">
                  <c:v>-9.029046759162652</c:v>
                </c:pt>
                <c:pt idx="48">
                  <c:v>-9.1799163633978083</c:v>
                </c:pt>
                <c:pt idx="49">
                  <c:v>-8.5206235651373845</c:v>
                </c:pt>
                <c:pt idx="50">
                  <c:v>-8.8972334652041916</c:v>
                </c:pt>
                <c:pt idx="51">
                  <c:v>-8.8720588857048437</c:v>
                </c:pt>
                <c:pt idx="52">
                  <c:v>-8.3223012459400358</c:v>
                </c:pt>
                <c:pt idx="53">
                  <c:v>-9.0743003397554141</c:v>
                </c:pt>
                <c:pt idx="54">
                  <c:v>-8.1621426997217164</c:v>
                </c:pt>
                <c:pt idx="55">
                  <c:v>-8.0445621798257907</c:v>
                </c:pt>
                <c:pt idx="56">
                  <c:v>-6.7873120115789911</c:v>
                </c:pt>
                <c:pt idx="57">
                  <c:v>-8.764101321578357</c:v>
                </c:pt>
                <c:pt idx="58">
                  <c:v>-7.7332636102102565</c:v>
                </c:pt>
                <c:pt idx="59">
                  <c:v>-8.5179356233444743</c:v>
                </c:pt>
                <c:pt idx="60">
                  <c:v>-7.5532596927165239</c:v>
                </c:pt>
                <c:pt idx="61">
                  <c:v>-7.2074728000106747</c:v>
                </c:pt>
                <c:pt idx="62">
                  <c:v>-6.9596622686122123</c:v>
                </c:pt>
                <c:pt idx="63">
                  <c:v>-6.8761659126561572</c:v>
                </c:pt>
                <c:pt idx="64">
                  <c:v>-8.4741380328080425</c:v>
                </c:pt>
                <c:pt idx="65">
                  <c:v>-7.9521976263490544</c:v>
                </c:pt>
                <c:pt idx="66">
                  <c:v>-8.3140619216345133</c:v>
                </c:pt>
                <c:pt idx="67">
                  <c:v>-9.0844557573660758</c:v>
                </c:pt>
                <c:pt idx="68">
                  <c:v>-9.8750573011248797</c:v>
                </c:pt>
                <c:pt idx="69">
                  <c:v>-9.6593574389431627</c:v>
                </c:pt>
                <c:pt idx="70">
                  <c:v>-8.4303455177468773</c:v>
                </c:pt>
                <c:pt idx="71">
                  <c:v>-9.7977324159350374</c:v>
                </c:pt>
                <c:pt idx="72">
                  <c:v>-8.5322476386450496</c:v>
                </c:pt>
                <c:pt idx="73">
                  <c:v>-8.3147591444568452</c:v>
                </c:pt>
                <c:pt idx="74">
                  <c:v>-8.9912435298926621</c:v>
                </c:pt>
                <c:pt idx="75">
                  <c:v>-10.290893809037378</c:v>
                </c:pt>
                <c:pt idx="76">
                  <c:v>-11.341714188824527</c:v>
                </c:pt>
                <c:pt idx="77">
                  <c:v>-13.081336369965396</c:v>
                </c:pt>
                <c:pt idx="78">
                  <c:v>-13.900346732374153</c:v>
                </c:pt>
                <c:pt idx="79">
                  <c:v>-14.403047083861386</c:v>
                </c:pt>
                <c:pt idx="80">
                  <c:v>-15.36624660486641</c:v>
                </c:pt>
                <c:pt idx="81">
                  <c:v>-15.89440892493497</c:v>
                </c:pt>
                <c:pt idx="82">
                  <c:v>-18.221902840520023</c:v>
                </c:pt>
                <c:pt idx="83">
                  <c:v>-18.140330195829559</c:v>
                </c:pt>
                <c:pt idx="84">
                  <c:v>-17.92009427915789</c:v>
                </c:pt>
                <c:pt idx="85">
                  <c:v>-17.22841258112604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E-4086-81BE-4ED2C95B20E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E-4086-81BE-4ED2C95B2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300095"/>
        <c:axId val="1237487407"/>
      </c:lineChart>
      <c:catAx>
        <c:axId val="1234300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487407"/>
        <c:crosses val="autoZero"/>
        <c:auto val="1"/>
        <c:lblAlgn val="ctr"/>
        <c:lblOffset val="100"/>
        <c:noMultiLvlLbl val="0"/>
      </c:catAx>
      <c:valAx>
        <c:axId val="123748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300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txData>
          <cx:v>Ιστόγραμμα Απόδοσης Μετοχής Α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l-GR" sz="1200" b="0" i="0" u="none" strike="noStrike" baseline="0">
              <a:solidFill>
                <a:schemeClr val="bg1"/>
              </a:solidFill>
              <a:latin typeface="Calibri" panose="020F0502020204030204"/>
            </a:rPr>
            <a:t>Ιστόγραμμα Απόδοσης Μετοχής Α</a:t>
          </a:r>
        </a:p>
      </cx:txPr>
    </cx:title>
    <cx:plotArea>
      <cx:plotAreaRegion>
        <cx:plotSurface>
          <cx:spPr>
            <a:solidFill>
              <a:schemeClr val="tx1"/>
            </a:solidFill>
          </cx:spPr>
        </cx:plotSurface>
        <cx:series layoutId="clusteredColumn" uniqueId="{BA12F1D8-AA99-4105-A41C-D859DE3D618D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Ιστόγραμμα Απόδοσης Μετοχής  Β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l-GR" sz="1200" b="0" i="0" u="none" strike="noStrike" baseline="0">
              <a:solidFill>
                <a:schemeClr val="bg1"/>
              </a:solidFill>
              <a:latin typeface="Calibri" panose="020F0502020204030204"/>
            </a:rPr>
            <a:t>Ιστόγραμμα Απόδοσης Μετοχής  Β</a:t>
          </a:r>
        </a:p>
      </cx:txPr>
    </cx:title>
    <cx:plotArea>
      <cx:plotAreaRegion>
        <cx:plotSurface>
          <cx:spPr>
            <a:solidFill>
              <a:schemeClr val="tx1"/>
            </a:solidFill>
          </cx:spPr>
        </cx:plotSurface>
        <cx:series layoutId="clusteredColumn" uniqueId="{FE71F1CA-F716-415D-A4B8-14CF4EEDB2F3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Ιστόγραμμα Απόδοσης Μετοχής Γ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l-GR" sz="1400" b="0" i="0" u="none" strike="noStrike" cap="none" spc="20" baseline="0">
              <a:solidFill>
                <a:schemeClr val="bg1"/>
              </a:solidFill>
              <a:latin typeface="Calibri" panose="020F0502020204030204"/>
            </a:rPr>
            <a:t>Ιστόγραμμα Απόδοσης Μετοχής Γ</a:t>
          </a:r>
        </a:p>
      </cx:txPr>
    </cx:title>
    <cx:plotArea>
      <cx:plotAreaRegion>
        <cx:plotSurface>
          <cx:spPr>
            <a:solidFill>
              <a:schemeClr val="tx1"/>
            </a:solidFill>
          </cx:spPr>
        </cx:plotSurface>
        <cx:series layoutId="clusteredColumn" uniqueId="{01897C4B-816D-4229-B346-B86A24F124FE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BB2969E1-CCE9-4BCC-9A95-25C0EE0E85C9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/>
    <cx:plotArea>
      <cx:plotAreaRegion>
        <cx:series layoutId="clusteredColumn" uniqueId="{FA5D6623-C9B8-4985-821A-2693FF32534B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0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70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70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5" Type="http://schemas.microsoft.com/office/2014/relationships/chartEx" Target="../charts/chartEx4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mos.aegean.gr/actuar/nick/VeltistopoiisiXartofilakiou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1135380</xdr:colOff>
      <xdr:row>2</xdr:row>
      <xdr:rowOff>129540</xdr:rowOff>
    </xdr:from>
    <xdr:ext cx="4450080" cy="14630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92DD66-4E13-4635-A19C-B1EF491C795A}"/>
            </a:ext>
          </a:extLst>
        </xdr:cNvPr>
        <xdr:cNvSpPr txBox="1"/>
      </xdr:nvSpPr>
      <xdr:spPr>
        <a:xfrm>
          <a:off x="31485840" y="495300"/>
          <a:ext cx="4450080" cy="1463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l-GR" sz="1400">
              <a:solidFill>
                <a:schemeClr val="tx1"/>
              </a:solidFill>
            </a:rPr>
            <a:t>Υπολογισμός</a:t>
          </a:r>
          <a:r>
            <a:rPr lang="el-GR" sz="1400" baseline="0">
              <a:solidFill>
                <a:schemeClr val="tx1"/>
              </a:solidFill>
            </a:rPr>
            <a:t> των </a:t>
          </a:r>
          <a:r>
            <a:rPr lang="en-US" sz="1400" baseline="0">
              <a:solidFill>
                <a:schemeClr val="tx1"/>
              </a:solidFill>
            </a:rPr>
            <a:t>Call </a:t>
          </a:r>
          <a:r>
            <a:rPr lang="el-GR" sz="1400" baseline="0">
              <a:solidFill>
                <a:schemeClr val="tx1"/>
              </a:solidFill>
            </a:rPr>
            <a:t>και </a:t>
          </a:r>
          <a:r>
            <a:rPr lang="en-US" sz="1400" baseline="0">
              <a:solidFill>
                <a:schemeClr val="tx1"/>
              </a:solidFill>
            </a:rPr>
            <a:t>Put </a:t>
          </a:r>
          <a:r>
            <a:rPr lang="el-GR" sz="1400" baseline="0">
              <a:solidFill>
                <a:schemeClr val="tx1"/>
              </a:solidFill>
            </a:rPr>
            <a:t>(τόσο Ευρωπαϊκών όσο και Αμερικανικών)</a:t>
          </a:r>
          <a:r>
            <a:rPr lang="en-US" sz="1400" baseline="0">
              <a:solidFill>
                <a:schemeClr val="tx1"/>
              </a:solidFill>
            </a:rPr>
            <a:t> </a:t>
          </a:r>
          <a:r>
            <a:rPr lang="el-GR" sz="1400" baseline="0">
              <a:solidFill>
                <a:schemeClr val="tx1"/>
              </a:solidFill>
            </a:rPr>
            <a:t>με το Διωνυμικό Μοντέλο δυο περιόδων</a:t>
          </a:r>
          <a:r>
            <a:rPr lang="en-US" sz="1400" baseline="0">
              <a:solidFill>
                <a:schemeClr val="tx1"/>
              </a:solidFill>
            </a:rPr>
            <a:t> </a:t>
          </a:r>
          <a:r>
            <a:rPr lang="el-GR" sz="1400" baseline="0">
              <a:solidFill>
                <a:schemeClr val="tx1"/>
              </a:solidFill>
            </a:rPr>
            <a:t>για την Μετοχή Α</a:t>
          </a:r>
          <a:r>
            <a:rPr lang="en-US" sz="1400" baseline="0">
              <a:solidFill>
                <a:schemeClr val="tx1"/>
              </a:solidFill>
            </a:rPr>
            <a:t>.</a:t>
          </a:r>
          <a:r>
            <a:rPr lang="el-GR" sz="1400" baseline="0">
              <a:solidFill>
                <a:schemeClr val="tx1"/>
              </a:solidFill>
            </a:rPr>
            <a:t> Μπορεί να αποδειχθεί ότι οι τιμές των </a:t>
          </a:r>
          <a:r>
            <a:rPr lang="en-US" sz="1400" baseline="0">
              <a:solidFill>
                <a:schemeClr val="tx1"/>
              </a:solidFill>
            </a:rPr>
            <a:t>Call, </a:t>
          </a:r>
          <a:r>
            <a:rPr lang="el-GR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όταν υπολογίζονται από το διωνυμικό μοντέλο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l-GR" sz="1400" baseline="0">
              <a:solidFill>
                <a:schemeClr val="tx1"/>
              </a:solidFill>
            </a:rPr>
            <a:t>συμπίπτουν πάντα ενώ των </a:t>
          </a:r>
          <a:r>
            <a:rPr lang="en-US" sz="1400" baseline="0">
              <a:solidFill>
                <a:schemeClr val="tx1"/>
              </a:solidFill>
            </a:rPr>
            <a:t>Put </a:t>
          </a:r>
          <a:r>
            <a:rPr lang="el-GR" sz="1400" baseline="0">
              <a:solidFill>
                <a:schemeClr val="tx1"/>
              </a:solidFill>
            </a:rPr>
            <a:t>μόνο όταν </a:t>
          </a:r>
          <a:r>
            <a:rPr lang="en-US" sz="1400" baseline="0">
              <a:solidFill>
                <a:schemeClr val="tx1"/>
              </a:solidFill>
            </a:rPr>
            <a:t>rr=0 </a:t>
          </a:r>
          <a:r>
            <a:rPr lang="el-GR" sz="1400" baseline="0">
              <a:solidFill>
                <a:schemeClr val="tx1"/>
              </a:solidFill>
            </a:rPr>
            <a:t> (μελετήστε την απόδειξη στο βιβλίο).</a:t>
          </a:r>
        </a:p>
        <a:p>
          <a:endParaRPr lang="el-GR" sz="14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190500</xdr:colOff>
      <xdr:row>42</xdr:row>
      <xdr:rowOff>76200</xdr:rowOff>
    </xdr:from>
    <xdr:ext cx="3055620" cy="94488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B57B78F-BF6A-4541-814F-EA802628AE68}"/>
            </a:ext>
          </a:extLst>
        </xdr:cNvPr>
        <xdr:cNvSpPr txBox="1"/>
      </xdr:nvSpPr>
      <xdr:spPr>
        <a:xfrm>
          <a:off x="31874460" y="7970520"/>
          <a:ext cx="3055620" cy="944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l-GR" sz="1100">
              <a:solidFill>
                <a:srgbClr val="FF0000"/>
              </a:solidFill>
            </a:rPr>
            <a:t>Υπολογισμός των </a:t>
          </a:r>
          <a:r>
            <a:rPr lang="en-US" sz="1100">
              <a:solidFill>
                <a:srgbClr val="FF0000"/>
              </a:solidFill>
            </a:rPr>
            <a:t>Call </a:t>
          </a:r>
          <a:r>
            <a:rPr lang="el-GR" sz="1100">
              <a:solidFill>
                <a:srgbClr val="FF0000"/>
              </a:solidFill>
            </a:rPr>
            <a:t> και </a:t>
          </a:r>
          <a:r>
            <a:rPr lang="en-US" sz="1100">
              <a:solidFill>
                <a:srgbClr val="FF0000"/>
              </a:solidFill>
            </a:rPr>
            <a:t>Put </a:t>
          </a:r>
          <a:r>
            <a:rPr lang="el-GR" sz="1100">
              <a:solidFill>
                <a:srgbClr val="FF0000"/>
              </a:solidFill>
            </a:rPr>
            <a:t>με το μοντέλο </a:t>
          </a:r>
          <a:r>
            <a:rPr lang="en-US" sz="1100">
              <a:solidFill>
                <a:srgbClr val="FF0000"/>
              </a:solidFill>
            </a:rPr>
            <a:t>Black-Scholes. </a:t>
          </a:r>
          <a:r>
            <a:rPr lang="el-GR" sz="1100">
              <a:solidFill>
                <a:srgbClr val="FF0000"/>
              </a:solidFill>
            </a:rPr>
            <a:t>Όλες οι τιμές που χρειάζονται λαμβάνονται από</a:t>
          </a:r>
          <a:r>
            <a:rPr lang="el-GR" sz="1100" baseline="0">
              <a:solidFill>
                <a:srgbClr val="FF0000"/>
              </a:solidFill>
            </a:rPr>
            <a:t> τα δεδομένα του διωνυμικού μοντέλου.</a:t>
          </a:r>
          <a:endParaRPr lang="el-GR" sz="1100">
            <a:solidFill>
              <a:srgbClr val="FF0000"/>
            </a:solidFill>
          </a:endParaRPr>
        </a:p>
      </xdr:txBody>
    </xdr:sp>
    <xdr:clientData/>
  </xdr:oneCellAnchor>
  <xdr:oneCellAnchor>
    <xdr:from>
      <xdr:col>20</xdr:col>
      <xdr:colOff>312420</xdr:colOff>
      <xdr:row>12</xdr:row>
      <xdr:rowOff>45720</xdr:rowOff>
    </xdr:from>
    <xdr:ext cx="208026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AE2CCD-BBBD-4A47-AECE-674EE4217ED6}"/>
            </a:ext>
          </a:extLst>
        </xdr:cNvPr>
        <xdr:cNvSpPr txBox="1"/>
      </xdr:nvSpPr>
      <xdr:spPr>
        <a:xfrm>
          <a:off x="29131260" y="2255520"/>
          <a:ext cx="208026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l-GR" sz="1100"/>
        </a:p>
      </xdr:txBody>
    </xdr:sp>
    <xdr:clientData/>
  </xdr:oneCellAnchor>
  <xdr:oneCellAnchor>
    <xdr:from>
      <xdr:col>9</xdr:col>
      <xdr:colOff>586740</xdr:colOff>
      <xdr:row>44</xdr:row>
      <xdr:rowOff>251460</xdr:rowOff>
    </xdr:from>
    <xdr:ext cx="1958340" cy="30480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904559B-4927-4F13-B4CF-C6F177CA2197}"/>
            </a:ext>
          </a:extLst>
        </xdr:cNvPr>
        <xdr:cNvSpPr txBox="1"/>
      </xdr:nvSpPr>
      <xdr:spPr>
        <a:xfrm>
          <a:off x="12161520" y="8602980"/>
          <a:ext cx="195834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l-GR" sz="1200"/>
            <a:t>Δηλαδή είμαστε κατά </a:t>
          </a:r>
        </a:p>
      </xdr:txBody>
    </xdr:sp>
    <xdr:clientData/>
  </xdr:oneCellAnchor>
  <xdr:oneCellAnchor>
    <xdr:from>
      <xdr:col>13</xdr:col>
      <xdr:colOff>205740</xdr:colOff>
      <xdr:row>45</xdr:row>
      <xdr:rowOff>22860</xdr:rowOff>
    </xdr:from>
    <xdr:ext cx="221742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C88AFA7-B3EF-41C9-B60A-DCEC3B1C6A0B}"/>
            </a:ext>
          </a:extLst>
        </xdr:cNvPr>
        <xdr:cNvSpPr txBox="1"/>
      </xdr:nvSpPr>
      <xdr:spPr>
        <a:xfrm>
          <a:off x="16222980" y="8641080"/>
          <a:ext cx="22174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/>
            <a:t>δεν θα</a:t>
          </a:r>
          <a:r>
            <a:rPr lang="el-GR" sz="1100" baseline="0"/>
            <a:t> </a:t>
          </a:r>
          <a:r>
            <a:rPr lang="el-GR" sz="1100"/>
            <a:t>χάσουμε περισσότερα από </a:t>
          </a:r>
        </a:p>
      </xdr:txBody>
    </xdr:sp>
    <xdr:clientData/>
  </xdr:oneCellAnchor>
  <xdr:twoCellAnchor>
    <xdr:from>
      <xdr:col>11</xdr:col>
      <xdr:colOff>0</xdr:colOff>
      <xdr:row>51</xdr:row>
      <xdr:rowOff>0</xdr:rowOff>
    </xdr:from>
    <xdr:to>
      <xdr:col>13</xdr:col>
      <xdr:colOff>792480</xdr:colOff>
      <xdr:row>64</xdr:row>
      <xdr:rowOff>175260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Γράφημα 10">
              <a:extLst>
                <a:ext uri="{FF2B5EF4-FFF2-40B4-BE49-F238E27FC236}">
                  <a16:creationId xmlns:a16="http://schemas.microsoft.com/office/drawing/2014/main" id="{B8D45203-2DF6-49CB-8C79-21359E76F8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833600" y="12530667"/>
              <a:ext cx="2998047" cy="25416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51</xdr:row>
      <xdr:rowOff>0</xdr:rowOff>
    </xdr:from>
    <xdr:to>
      <xdr:col>15</xdr:col>
      <xdr:colOff>1729740</xdr:colOff>
      <xdr:row>64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Γράφημα 12">
              <a:extLst>
                <a:ext uri="{FF2B5EF4-FFF2-40B4-BE49-F238E27FC236}">
                  <a16:creationId xmlns:a16="http://schemas.microsoft.com/office/drawing/2014/main" id="{6486194D-A2AF-4CF0-A1C2-AC0CC9A92F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622433" y="12530667"/>
              <a:ext cx="3177540" cy="251883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16</xdr:col>
      <xdr:colOff>0</xdr:colOff>
      <xdr:row>51</xdr:row>
      <xdr:rowOff>0</xdr:rowOff>
    </xdr:from>
    <xdr:to>
      <xdr:col>17</xdr:col>
      <xdr:colOff>1394460</xdr:colOff>
      <xdr:row>64</xdr:row>
      <xdr:rowOff>137160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Γράφημα 14">
              <a:extLst>
                <a:ext uri="{FF2B5EF4-FFF2-40B4-BE49-F238E27FC236}">
                  <a16:creationId xmlns:a16="http://schemas.microsoft.com/office/drawing/2014/main" id="{233F452D-BA60-4019-B79B-E55BEED834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906567" y="12530667"/>
              <a:ext cx="3231726" cy="2503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10</xdr:col>
      <xdr:colOff>434340</xdr:colOff>
      <xdr:row>48</xdr:row>
      <xdr:rowOff>160021</xdr:rowOff>
    </xdr:from>
    <xdr:ext cx="9799320" cy="43678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A68FF8A-6426-4DDD-8B36-E1C03238A963}"/>
            </a:ext>
          </a:extLst>
        </xdr:cNvPr>
        <xdr:cNvSpPr txBox="1"/>
      </xdr:nvSpPr>
      <xdr:spPr>
        <a:xfrm>
          <a:off x="13738860" y="9425941"/>
          <a:ext cx="9799320" cy="43678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/>
            <a:t>Τα</a:t>
          </a:r>
          <a:r>
            <a:rPr lang="el-GR" sz="1100" baseline="0"/>
            <a:t> αποτελέσματα που αφορούν τον κίνδυνο χρεοκοπίας στηρίζονται στην υπόθεση ότι η απόδοση της κάθε μετοχής ακολουθεί την κανονική κατανομή με μέση τιμή </a:t>
          </a:r>
          <a:r>
            <a:rPr lang="en-US" sz="1100" baseline="0"/>
            <a:t>mi </a:t>
          </a:r>
          <a:r>
            <a:rPr lang="el-GR" sz="1100" baseline="0"/>
            <a:t>και διακύμανση </a:t>
          </a:r>
          <a:r>
            <a:rPr lang="en-US" sz="1100" baseline="0"/>
            <a:t>si^2. </a:t>
          </a:r>
          <a:r>
            <a:rPr lang="el-GR" sz="1100" baseline="0"/>
            <a:t>Στα παρακάτω ιστογράμματα μπορούμε να δούμε κατά πόσο αυτό αληθεύει.</a:t>
          </a:r>
          <a:endParaRPr lang="el-GR" sz="1100"/>
        </a:p>
      </xdr:txBody>
    </xdr:sp>
    <xdr:clientData/>
  </xdr:oneCellAnchor>
  <xdr:oneCellAnchor>
    <xdr:from>
      <xdr:col>23</xdr:col>
      <xdr:colOff>45720</xdr:colOff>
      <xdr:row>21</xdr:row>
      <xdr:rowOff>45720</xdr:rowOff>
    </xdr:from>
    <xdr:ext cx="1463040" cy="1645919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FD2E8EA-21A9-4A87-8B9D-A73273256B85}"/>
            </a:ext>
          </a:extLst>
        </xdr:cNvPr>
        <xdr:cNvSpPr txBox="1"/>
      </xdr:nvSpPr>
      <xdr:spPr>
        <a:xfrm>
          <a:off x="31546800" y="3931920"/>
          <a:ext cx="1463040" cy="164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Όπου</a:t>
          </a: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rr </a:t>
          </a: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είναι το ετήσιο επιτόκιο</a:t>
          </a:r>
          <a:r>
            <a:rPr lang="en-US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,</a:t>
          </a:r>
          <a:endParaRPr lang="el-GR" sz="1100" baseline="0">
            <a:solidFill>
              <a:schemeClr val="accent4">
                <a:lumMod val="60000"/>
                <a:lumOff val="4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T </a:t>
          </a: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είναι η διάρκεια του συμβολαίου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σε χρόνια  και Κ η τιμή εξάσκησης.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Οι τιμές αυτές πρέπει να δοθούν από τον χρήστη</a:t>
          </a:r>
          <a:r>
            <a:rPr lang="el-G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l-GR">
            <a:effectLst/>
          </a:endParaRPr>
        </a:p>
      </xdr:txBody>
    </xdr:sp>
    <xdr:clientData/>
  </xdr:oneCellAnchor>
  <xdr:oneCellAnchor>
    <xdr:from>
      <xdr:col>32</xdr:col>
      <xdr:colOff>110066</xdr:colOff>
      <xdr:row>0</xdr:row>
      <xdr:rowOff>1507067</xdr:rowOff>
    </xdr:from>
    <xdr:ext cx="2709334" cy="482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4A4158E-25CA-478B-AD1F-388E10F536E7}"/>
                </a:ext>
              </a:extLst>
            </xdr:cNvPr>
            <xdr:cNvSpPr txBox="1"/>
          </xdr:nvSpPr>
          <xdr:spPr>
            <a:xfrm>
              <a:off x="39679033" y="1507067"/>
              <a:ext cx="2709334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𝐾</m:t>
                    </m:r>
                  </m:oMath>
                </m:oMathPara>
              </a14:m>
              <a:endParaRPr lang="en-US" sz="1100" b="0"/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4A4158E-25CA-478B-AD1F-388E10F536E7}"/>
                </a:ext>
              </a:extLst>
            </xdr:cNvPr>
            <xdr:cNvSpPr txBox="1"/>
          </xdr:nvSpPr>
          <xdr:spPr>
            <a:xfrm>
              <a:off x="39679033" y="1507067"/>
              <a:ext cx="2709334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𝑋_𝑛=(𝑆1+𝑆2+𝑆3)/3−𝐾</a:t>
              </a:r>
              <a:endParaRPr lang="en-US" sz="1100" b="0"/>
            </a:p>
            <a:p>
              <a:endParaRPr lang="en-US" sz="1100"/>
            </a:p>
          </xdr:txBody>
        </xdr:sp>
      </mc:Fallback>
    </mc:AlternateContent>
    <xdr:clientData/>
  </xdr:oneCellAnchor>
  <xdr:twoCellAnchor>
    <xdr:from>
      <xdr:col>24</xdr:col>
      <xdr:colOff>696383</xdr:colOff>
      <xdr:row>72</xdr:row>
      <xdr:rowOff>35982</xdr:rowOff>
    </xdr:from>
    <xdr:to>
      <xdr:col>31</xdr:col>
      <xdr:colOff>366183</xdr:colOff>
      <xdr:row>87</xdr:row>
      <xdr:rowOff>48682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0DA3534-ACDA-4BFE-8C82-EBE8FAD23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624416</xdr:colOff>
      <xdr:row>89</xdr:row>
      <xdr:rowOff>91017</xdr:rowOff>
    </xdr:from>
    <xdr:to>
      <xdr:col>31</xdr:col>
      <xdr:colOff>294216</xdr:colOff>
      <xdr:row>104</xdr:row>
      <xdr:rowOff>103717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ACD5D33E-0376-4E69-A5A1-E28537AB1A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647716" y="19538950"/>
              <a:ext cx="4572000" cy="28363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33</xdr:col>
      <xdr:colOff>211666</xdr:colOff>
      <xdr:row>96</xdr:row>
      <xdr:rowOff>88901</xdr:rowOff>
    </xdr:from>
    <xdr:ext cx="1921933" cy="46807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52E59EE-0F0A-421D-A5AE-0D4D836A0977}"/>
            </a:ext>
          </a:extLst>
        </xdr:cNvPr>
        <xdr:cNvSpPr txBox="1"/>
      </xdr:nvSpPr>
      <xdr:spPr>
        <a:xfrm>
          <a:off x="40424099" y="20811068"/>
          <a:ext cx="1921933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200">
              <a:solidFill>
                <a:srgbClr val="FF0000"/>
              </a:solidFill>
            </a:rPr>
            <a:t>Ο χρόνος λήξης του συμβολαίου είναι </a:t>
          </a:r>
          <a:endParaRPr lang="en-US" sz="1200">
            <a:solidFill>
              <a:srgbClr val="FF0000"/>
            </a:solidFill>
          </a:endParaRPr>
        </a:p>
      </xdr:txBody>
    </xdr:sp>
    <xdr:clientData/>
  </xdr:oneCellAnchor>
  <xdr:oneCellAnchor>
    <xdr:from>
      <xdr:col>38</xdr:col>
      <xdr:colOff>304799</xdr:colOff>
      <xdr:row>97</xdr:row>
      <xdr:rowOff>76199</xdr:rowOff>
    </xdr:from>
    <xdr:ext cx="1464734" cy="280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AA03EE0-E739-4476-938A-2F128B87041B}"/>
            </a:ext>
          </a:extLst>
        </xdr:cNvPr>
        <xdr:cNvSpPr txBox="1"/>
      </xdr:nvSpPr>
      <xdr:spPr>
        <a:xfrm>
          <a:off x="43734566" y="20980399"/>
          <a:ext cx="146473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200">
              <a:solidFill>
                <a:srgbClr val="FF0000"/>
              </a:solidFill>
            </a:rPr>
            <a:t>χρόνια</a:t>
          </a:r>
          <a:endParaRPr lang="en-US" sz="1200">
            <a:solidFill>
              <a:srgbClr val="FF0000"/>
            </a:solidFill>
          </a:endParaRPr>
        </a:p>
      </xdr:txBody>
    </xdr:sp>
    <xdr:clientData/>
  </xdr:oneCellAnchor>
  <xdr:oneCellAnchor>
    <xdr:from>
      <xdr:col>33</xdr:col>
      <xdr:colOff>393700</xdr:colOff>
      <xdr:row>99</xdr:row>
      <xdr:rowOff>143933</xdr:rowOff>
    </xdr:from>
    <xdr:ext cx="1595967" cy="655949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4F04333-55F7-4B0F-8487-1D884BE8C501}"/>
            </a:ext>
          </a:extLst>
        </xdr:cNvPr>
        <xdr:cNvSpPr txBox="1"/>
      </xdr:nvSpPr>
      <xdr:spPr>
        <a:xfrm>
          <a:off x="40606133" y="21412200"/>
          <a:ext cx="1595967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200">
              <a:solidFill>
                <a:srgbClr val="FF0000"/>
              </a:solidFill>
            </a:rPr>
            <a:t>Ως</a:t>
          </a:r>
          <a:r>
            <a:rPr lang="el-GR" sz="1200" baseline="0">
              <a:solidFill>
                <a:srgbClr val="FF0000"/>
              </a:solidFill>
            </a:rPr>
            <a:t> αξία του συμβολαίου δεχόμαστε την </a:t>
          </a:r>
          <a:endParaRPr lang="en-US" sz="12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65617</xdr:colOff>
      <xdr:row>74</xdr:row>
      <xdr:rowOff>35983</xdr:rowOff>
    </xdr:from>
    <xdr:to>
      <xdr:col>12</xdr:col>
      <xdr:colOff>133350</xdr:colOff>
      <xdr:row>89</xdr:row>
      <xdr:rowOff>48683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385F56AB-AA82-41A8-B0A7-3E8E104EC6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82950" y="135064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3</xdr:col>
      <xdr:colOff>177800</xdr:colOff>
      <xdr:row>114</xdr:row>
      <xdr:rowOff>148166</xdr:rowOff>
    </xdr:from>
    <xdr:ext cx="2781300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D9AEB1-CD0B-1108-3F05-CBEEF8FB0D7E}"/>
            </a:ext>
          </a:extLst>
        </xdr:cNvPr>
        <xdr:cNvSpPr txBox="1"/>
      </xdr:nvSpPr>
      <xdr:spPr>
        <a:xfrm>
          <a:off x="2108200" y="20946533"/>
          <a:ext cx="278130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400">
              <a:solidFill>
                <a:srgbClr val="C00000"/>
              </a:solidFill>
            </a:rPr>
            <a:t>Κίνηση </a:t>
          </a:r>
          <a:r>
            <a:rPr lang="en-US" sz="1400">
              <a:solidFill>
                <a:srgbClr val="C00000"/>
              </a:solidFill>
            </a:rPr>
            <a:t>Brown</a:t>
          </a:r>
        </a:p>
      </xdr:txBody>
    </xdr:sp>
    <xdr:clientData/>
  </xdr:oneCellAnchor>
  <xdr:twoCellAnchor>
    <xdr:from>
      <xdr:col>6</xdr:col>
      <xdr:colOff>294217</xdr:colOff>
      <xdr:row>117</xdr:row>
      <xdr:rowOff>175683</xdr:rowOff>
    </xdr:from>
    <xdr:to>
      <xdr:col>13</xdr:col>
      <xdr:colOff>361950</xdr:colOff>
      <xdr:row>133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048F3FD-7140-C2A4-DE33-A4E02AB96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91441</xdr:colOff>
      <xdr:row>36</xdr:row>
      <xdr:rowOff>152400</xdr:rowOff>
    </xdr:from>
    <xdr:ext cx="556260" cy="320040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2F7AF-1F08-413B-BA97-796C227B971D}"/>
            </a:ext>
          </a:extLst>
        </xdr:cNvPr>
        <xdr:cNvSpPr txBox="1"/>
      </xdr:nvSpPr>
      <xdr:spPr>
        <a:xfrm>
          <a:off x="24864061" y="6812280"/>
          <a:ext cx="556260" cy="320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l-GR" sz="1100" b="1"/>
            <a:t>εδώ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amos.aegean.gr/actuar/nick/VeltistopoiisiXartofilakiou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mos.aegean.gr/actuar/nick/VeltistopoiisiXartofilakiou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5"/>
  <sheetViews>
    <sheetView topLeftCell="H14" workbookViewId="0">
      <selection activeCell="L36" sqref="L36"/>
    </sheetView>
  </sheetViews>
  <sheetFormatPr defaultRowHeight="14.35" x14ac:dyDescent="0.5"/>
  <cols>
    <col min="1" max="1" width="16" customWidth="1"/>
    <col min="2" max="2" width="15.41015625" customWidth="1"/>
    <col min="3" max="3" width="19.1171875" customWidth="1"/>
    <col min="5" max="5" width="18.234375" customWidth="1"/>
    <col min="6" max="6" width="24.41015625" customWidth="1"/>
    <col min="7" max="7" width="18.64453125" customWidth="1"/>
    <col min="8" max="8" width="27.52734375" customWidth="1"/>
    <col min="9" max="9" width="20.41015625" customWidth="1"/>
    <col min="10" max="10" width="25.234375" customWidth="1"/>
    <col min="11" max="11" width="12.17578125" bestFit="1" customWidth="1"/>
    <col min="12" max="12" width="18.64453125" customWidth="1"/>
    <col min="13" max="13" width="12" bestFit="1" customWidth="1"/>
    <col min="14" max="14" width="22" customWidth="1"/>
    <col min="15" max="15" width="20.1171875" customWidth="1"/>
    <col min="16" max="16" width="39.41015625" customWidth="1"/>
    <col min="17" max="17" width="25.52734375" customWidth="1"/>
    <col min="18" max="18" width="21" customWidth="1"/>
    <col min="19" max="19" width="49.64453125" customWidth="1"/>
    <col min="21" max="21" width="13.41015625" customWidth="1"/>
    <col min="23" max="23" width="16.76171875" customWidth="1"/>
    <col min="24" max="24" width="10.234375" customWidth="1"/>
    <col min="25" max="25" width="12" bestFit="1" customWidth="1"/>
    <col min="26" max="26" width="11.41015625" bestFit="1" customWidth="1"/>
  </cols>
  <sheetData>
    <row r="1" spans="1:37" ht="200.7" x14ac:dyDescent="0.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9</v>
      </c>
      <c r="G1" s="1" t="s">
        <v>4</v>
      </c>
      <c r="H1" s="1" t="s">
        <v>14</v>
      </c>
      <c r="I1" s="1" t="s">
        <v>5</v>
      </c>
      <c r="J1" s="1" t="s">
        <v>10</v>
      </c>
      <c r="L1" s="1" t="s">
        <v>6</v>
      </c>
      <c r="M1" s="1" t="s">
        <v>7</v>
      </c>
      <c r="N1" s="1" t="s">
        <v>8</v>
      </c>
      <c r="O1" s="1"/>
      <c r="P1" s="1" t="s">
        <v>11</v>
      </c>
      <c r="Q1" s="1" t="s">
        <v>12</v>
      </c>
      <c r="R1" s="1" t="s">
        <v>13</v>
      </c>
      <c r="S1" s="6"/>
      <c r="T1" s="7"/>
      <c r="U1" s="7"/>
      <c r="V1" s="7"/>
      <c r="W1" s="13"/>
      <c r="AF1" s="74" t="s">
        <v>96</v>
      </c>
    </row>
    <row r="2" spans="1:37" x14ac:dyDescent="0.5">
      <c r="A2" s="28">
        <v>2.2799999999999998</v>
      </c>
      <c r="B2" s="28">
        <v>0.64400000000000002</v>
      </c>
      <c r="C2" s="28">
        <v>0.42799999999999999</v>
      </c>
      <c r="D2" s="37"/>
      <c r="E2">
        <f>(A2/A3)-1</f>
        <v>1.7857142857142572E-2</v>
      </c>
      <c r="F2" s="13">
        <f>_xlfn.COVARIANCE.P(E2:E90,E2:E90)</f>
        <v>2.516005540254865E-4</v>
      </c>
      <c r="G2">
        <f>(B2/B3)-1</f>
        <v>4.5454545454545414E-2</v>
      </c>
      <c r="H2" s="13">
        <f>_xlfn.COVARIANCE.P(G2:G90,G2:G90)</f>
        <v>7.7468006960225964E-4</v>
      </c>
      <c r="I2">
        <f>(C2/C3)-1</f>
        <v>-0.20000000000000007</v>
      </c>
      <c r="J2" s="13">
        <f>_xlfn.COVARIANCE.P(I2:I90,I2:I90)</f>
        <v>4.3399258281555048E-3</v>
      </c>
      <c r="L2" s="13">
        <f>_xlfn.COVARIANCE.P(E2:E90,G2:G90)</f>
        <v>5.6690434570292831E-5</v>
      </c>
      <c r="M2" s="13">
        <f>_xlfn.COVARIANCE.P(E2:E90,I2:I90)</f>
        <v>6.7860106525898702E-5</v>
      </c>
      <c r="N2" s="13">
        <f>_xlfn.COVARIANCE.P(G2:G90,I2:I90)</f>
        <v>6.4954196802426947E-4</v>
      </c>
      <c r="P2" s="13">
        <f>AVERAGE(AJ2:AJ90)</f>
        <v>0.17848689138576773</v>
      </c>
      <c r="Q2" s="13">
        <f>AVERAGE(G2:G90)</f>
        <v>3.6845552689381707E-3</v>
      </c>
      <c r="R2" s="13">
        <f>AVERAGE(I2:I90)</f>
        <v>-4.2506572607665582E-3</v>
      </c>
      <c r="S2" s="7" t="s">
        <v>30</v>
      </c>
      <c r="T2" s="7">
        <v>2.8351827625318204</v>
      </c>
      <c r="U2" s="7"/>
      <c r="V2" s="7"/>
      <c r="W2" s="13"/>
      <c r="AF2" s="71" t="s">
        <v>74</v>
      </c>
      <c r="AG2" s="71">
        <f>1.1</f>
        <v>1.1000000000000001</v>
      </c>
      <c r="AH2" s="71">
        <f>AVERAGE(AJ2:AJ90)</f>
        <v>0.17848689138576773</v>
      </c>
      <c r="AI2" s="71">
        <f>_xlfn.COVARIANCE.P(AJ2:AJ90,AJ2:AJ90)</f>
        <v>6.2008765447684779E-3</v>
      </c>
      <c r="AJ2" s="72">
        <f>MAX((A2+B2+C2)/3-AG2,0)</f>
        <v>1.7333333333333201E-2</v>
      </c>
      <c r="AK2">
        <f>AJ2-AJ32</f>
        <v>-0.1036666666666668</v>
      </c>
    </row>
    <row r="3" spans="1:37" x14ac:dyDescent="0.5">
      <c r="A3" s="28">
        <v>2.2400000000000002</v>
      </c>
      <c r="B3" s="28">
        <v>0.61599999999999999</v>
      </c>
      <c r="C3" s="28">
        <v>0.53500000000000003</v>
      </c>
      <c r="E3">
        <f t="shared" ref="E3:E66" si="0">(A3/A4)-1</f>
        <v>9.009009009008917E-3</v>
      </c>
      <c r="G3">
        <f t="shared" ref="G3:G66" si="1">(B3/B4)-1</f>
        <v>-1.2820512820512886E-2</v>
      </c>
      <c r="I3">
        <f t="shared" ref="I3:I66" si="2">(C3/C4)-1</f>
        <v>-0.22011661807580174</v>
      </c>
      <c r="S3" s="7" t="s">
        <v>31</v>
      </c>
      <c r="T3" s="7">
        <v>-1.74458982766952</v>
      </c>
      <c r="U3" s="7"/>
      <c r="V3" s="7"/>
      <c r="W3" s="13"/>
      <c r="AG3" s="71">
        <f>AG2</f>
        <v>1.1000000000000001</v>
      </c>
      <c r="AJ3" s="72">
        <f t="shared" ref="AJ3:AJ66" si="3">MAX((A3+B3+C3)/3-AG3,0)</f>
        <v>3.0333333333333323E-2</v>
      </c>
      <c r="AK3">
        <f>AJ3-AJ33</f>
        <v>-7.7999999999999847E-2</v>
      </c>
    </row>
    <row r="4" spans="1:37" x14ac:dyDescent="0.5">
      <c r="A4" s="28">
        <v>2.2200000000000002</v>
      </c>
      <c r="B4" s="28">
        <v>0.624</v>
      </c>
      <c r="C4" s="28">
        <v>0.68600000000000005</v>
      </c>
      <c r="E4">
        <f t="shared" si="0"/>
        <v>-4.4843049327353279E-3</v>
      </c>
      <c r="G4">
        <f t="shared" si="1"/>
        <v>-2.1943573667711602E-2</v>
      </c>
      <c r="I4">
        <f t="shared" si="2"/>
        <v>-0.22045454545454535</v>
      </c>
      <c r="S4" s="7" t="s">
        <v>32</v>
      </c>
      <c r="T4" s="7">
        <v>-9.0592934862300384E-2</v>
      </c>
      <c r="U4" s="7"/>
      <c r="V4" s="7"/>
      <c r="X4" s="56"/>
      <c r="Y4" s="56"/>
      <c r="Z4" s="56"/>
      <c r="AA4" s="56"/>
      <c r="AB4" s="56"/>
      <c r="AC4" s="56"/>
      <c r="AD4" s="56"/>
      <c r="AG4" s="71">
        <f t="shared" ref="AG4:AG67" si="4">AG3</f>
        <v>1.1000000000000001</v>
      </c>
      <c r="AJ4" s="72">
        <f t="shared" si="3"/>
        <v>7.6666666666666661E-2</v>
      </c>
    </row>
    <row r="5" spans="1:37" x14ac:dyDescent="0.5">
      <c r="A5" s="28">
        <v>2.23</v>
      </c>
      <c r="B5" s="28">
        <v>0.63800000000000001</v>
      </c>
      <c r="C5" s="28">
        <v>0.88</v>
      </c>
      <c r="E5">
        <f t="shared" si="0"/>
        <v>-4.4642857142858094E-3</v>
      </c>
      <c r="G5">
        <f t="shared" si="1"/>
        <v>-1.2383900928792602E-2</v>
      </c>
      <c r="I5">
        <f t="shared" si="2"/>
        <v>-6.3829787234042534E-2</v>
      </c>
      <c r="S5" s="7"/>
      <c r="T5" s="7"/>
      <c r="U5" s="7"/>
      <c r="V5" s="7"/>
      <c r="X5" s="56"/>
      <c r="Y5" s="56"/>
      <c r="Z5" s="56"/>
      <c r="AA5" s="56"/>
      <c r="AB5" s="56"/>
      <c r="AC5" s="56"/>
      <c r="AD5" s="56"/>
      <c r="AG5" s="71">
        <f t="shared" si="4"/>
        <v>1.1000000000000001</v>
      </c>
      <c r="AJ5" s="72">
        <f t="shared" si="3"/>
        <v>0.1493333333333331</v>
      </c>
    </row>
    <row r="6" spans="1:37" x14ac:dyDescent="0.5">
      <c r="A6" s="28">
        <v>2.2400000000000002</v>
      </c>
      <c r="B6" s="28">
        <v>0.64600000000000002</v>
      </c>
      <c r="C6" s="28">
        <v>0.94</v>
      </c>
      <c r="E6">
        <f t="shared" si="0"/>
        <v>0</v>
      </c>
      <c r="G6">
        <f t="shared" si="1"/>
        <v>1.2539184952978122E-2</v>
      </c>
      <c r="I6">
        <f t="shared" si="2"/>
        <v>0.26174496644295298</v>
      </c>
      <c r="S6" s="7"/>
      <c r="T6" s="7"/>
      <c r="U6" s="7"/>
      <c r="V6" s="7"/>
      <c r="X6" s="56"/>
      <c r="Y6" s="56"/>
      <c r="Z6" s="56"/>
      <c r="AA6" s="56"/>
      <c r="AB6" s="56"/>
      <c r="AC6" s="56"/>
      <c r="AD6" s="56"/>
      <c r="AG6" s="71">
        <f t="shared" si="4"/>
        <v>1.1000000000000001</v>
      </c>
      <c r="AJ6" s="72">
        <f t="shared" si="3"/>
        <v>0.17533333333333334</v>
      </c>
    </row>
    <row r="7" spans="1:37" x14ac:dyDescent="0.5">
      <c r="A7" s="28">
        <v>2.2400000000000002</v>
      </c>
      <c r="B7" s="28">
        <v>0.63800000000000001</v>
      </c>
      <c r="C7" s="28">
        <v>0.745</v>
      </c>
      <c r="E7">
        <f t="shared" si="0"/>
        <v>9.009009009008917E-3</v>
      </c>
      <c r="G7">
        <f t="shared" si="1"/>
        <v>3.1446540880504248E-3</v>
      </c>
      <c r="I7">
        <f t="shared" si="2"/>
        <v>-4.0106951871657914E-3</v>
      </c>
      <c r="S7" s="7" t="s">
        <v>15</v>
      </c>
      <c r="T7" s="7">
        <f>F2*T2^2+H2*T3^2+J2*T4^2+2*T2*T3*L2+2*T2*T4*M2+2*T3*T4*N2</f>
        <v>4.0255100802522774E-3</v>
      </c>
      <c r="U7" s="7"/>
      <c r="V7" s="7"/>
      <c r="X7" s="56"/>
      <c r="Y7" s="56"/>
      <c r="Z7" s="56"/>
      <c r="AA7" s="56"/>
      <c r="AB7" s="56"/>
      <c r="AC7" s="56"/>
      <c r="AD7" s="56"/>
      <c r="AG7" s="71">
        <f t="shared" si="4"/>
        <v>1.1000000000000001</v>
      </c>
      <c r="AJ7" s="72">
        <f t="shared" si="3"/>
        <v>0.10766666666666658</v>
      </c>
    </row>
    <row r="8" spans="1:37" x14ac:dyDescent="0.5">
      <c r="A8" s="28">
        <v>2.2200000000000002</v>
      </c>
      <c r="B8" s="28">
        <v>0.63600000000000001</v>
      </c>
      <c r="C8" s="28">
        <v>0.748</v>
      </c>
      <c r="E8">
        <f t="shared" si="0"/>
        <v>-4.4843049327353279E-3</v>
      </c>
      <c r="G8">
        <f t="shared" si="1"/>
        <v>6.3291139240506666E-3</v>
      </c>
      <c r="I8">
        <f t="shared" si="2"/>
        <v>2.4657534246575352E-2</v>
      </c>
      <c r="S8" s="7"/>
      <c r="T8" s="7"/>
      <c r="U8" s="7"/>
      <c r="V8" s="7"/>
      <c r="X8" s="56"/>
      <c r="Y8" s="56"/>
      <c r="Z8" s="56"/>
      <c r="AA8" s="56"/>
      <c r="AB8" s="56"/>
      <c r="AC8" s="56"/>
      <c r="AD8" s="56"/>
      <c r="AG8" s="71">
        <f t="shared" si="4"/>
        <v>1.1000000000000001</v>
      </c>
      <c r="AJ8" s="72">
        <f t="shared" si="3"/>
        <v>0.10133333333333328</v>
      </c>
    </row>
    <row r="9" spans="1:37" x14ac:dyDescent="0.5">
      <c r="A9" s="28">
        <v>2.23</v>
      </c>
      <c r="B9" s="28">
        <v>0.63200000000000001</v>
      </c>
      <c r="C9" s="28">
        <v>0.73</v>
      </c>
      <c r="E9">
        <f t="shared" si="0"/>
        <v>9.0497737556560764E-3</v>
      </c>
      <c r="G9">
        <f t="shared" si="1"/>
        <v>-1.5576323987538943E-2</v>
      </c>
      <c r="I9">
        <f t="shared" si="2"/>
        <v>-3.9473684210526327E-2</v>
      </c>
      <c r="P9" s="2" t="s">
        <v>19</v>
      </c>
      <c r="Q9" s="5">
        <v>1700</v>
      </c>
      <c r="S9" s="7" t="s">
        <v>16</v>
      </c>
      <c r="T9" s="7">
        <f>T2+T3+T4</f>
        <v>1</v>
      </c>
      <c r="U9" s="7" t="s">
        <v>17</v>
      </c>
      <c r="V9" s="7">
        <v>1</v>
      </c>
      <c r="X9" s="56"/>
      <c r="Y9" s="56"/>
      <c r="Z9" s="56"/>
      <c r="AA9" s="56"/>
      <c r="AB9" s="56"/>
      <c r="AC9" s="56"/>
      <c r="AD9" s="56"/>
      <c r="AG9" s="71">
        <f t="shared" si="4"/>
        <v>1.1000000000000001</v>
      </c>
      <c r="AJ9" s="72">
        <f t="shared" si="3"/>
        <v>9.7333333333333272E-2</v>
      </c>
    </row>
    <row r="10" spans="1:37" x14ac:dyDescent="0.5">
      <c r="A10" s="28">
        <v>2.21</v>
      </c>
      <c r="B10" s="28">
        <v>0.64200000000000002</v>
      </c>
      <c r="C10" s="28">
        <v>0.76</v>
      </c>
      <c r="E10">
        <f t="shared" si="0"/>
        <v>-1.3392857142857206E-2</v>
      </c>
      <c r="G10">
        <f t="shared" si="1"/>
        <v>-6.1919504643962453E-3</v>
      </c>
      <c r="I10">
        <f t="shared" si="2"/>
        <v>-3.7974683544303778E-2</v>
      </c>
      <c r="P10" s="3"/>
      <c r="Q10" s="3"/>
      <c r="R10" s="15" t="s">
        <v>25</v>
      </c>
      <c r="S10" s="7"/>
      <c r="T10" s="7"/>
      <c r="U10" s="7"/>
      <c r="V10" s="7"/>
      <c r="X10" s="56"/>
      <c r="Y10" s="56"/>
      <c r="Z10" s="56"/>
      <c r="AA10" s="56"/>
      <c r="AB10" s="56"/>
      <c r="AC10" s="56"/>
      <c r="AD10" s="56"/>
      <c r="AG10" s="71">
        <f t="shared" si="4"/>
        <v>1.1000000000000001</v>
      </c>
      <c r="AJ10" s="72">
        <f t="shared" si="3"/>
        <v>0.10399999999999987</v>
      </c>
    </row>
    <row r="11" spans="1:37" ht="14.7" thickBot="1" x14ac:dyDescent="0.55000000000000004">
      <c r="A11" s="28">
        <v>2.2400000000000002</v>
      </c>
      <c r="B11" s="28">
        <v>0.64600000000000002</v>
      </c>
      <c r="C11" s="28">
        <v>0.79</v>
      </c>
      <c r="E11">
        <f t="shared" si="0"/>
        <v>0</v>
      </c>
      <c r="G11">
        <f t="shared" si="1"/>
        <v>1.8927444794952786E-2</v>
      </c>
      <c r="I11">
        <f t="shared" si="2"/>
        <v>1.0230179028132946E-2</v>
      </c>
      <c r="P11" s="10" t="s">
        <v>20</v>
      </c>
      <c r="Q11" s="11">
        <f>T2*Q9</f>
        <v>4819.8106963040946</v>
      </c>
      <c r="R11" s="14">
        <f>Q11/A2</f>
        <v>2113.9520597824976</v>
      </c>
      <c r="S11" s="7" t="s">
        <v>18</v>
      </c>
      <c r="T11" s="7">
        <f>T2*P2+T3*Q2+T4*R2</f>
        <v>0.49999999966948883</v>
      </c>
      <c r="U11" s="7" t="s">
        <v>17</v>
      </c>
      <c r="V11" s="7">
        <f>L40</f>
        <v>0.5</v>
      </c>
      <c r="X11" s="56"/>
      <c r="Y11" s="56"/>
      <c r="Z11" s="56"/>
      <c r="AA11" s="56"/>
      <c r="AB11" s="56"/>
      <c r="AC11" s="56"/>
      <c r="AD11" s="56"/>
      <c r="AG11" s="71">
        <f t="shared" si="4"/>
        <v>1.1000000000000001</v>
      </c>
      <c r="AJ11" s="72">
        <f t="shared" si="3"/>
        <v>0.1253333333333333</v>
      </c>
    </row>
    <row r="12" spans="1:37" ht="14.7" thickBot="1" x14ac:dyDescent="0.55000000000000004">
      <c r="A12" s="28">
        <v>2.2400000000000002</v>
      </c>
      <c r="B12" s="28">
        <v>0.63400000000000001</v>
      </c>
      <c r="C12" s="28">
        <v>0.78200000000000003</v>
      </c>
      <c r="E12">
        <f t="shared" si="0"/>
        <v>-4.444444444444362E-3</v>
      </c>
      <c r="G12">
        <f t="shared" si="1"/>
        <v>5.6666666666666643E-2</v>
      </c>
      <c r="I12">
        <f t="shared" si="2"/>
        <v>-1.5113350125944613E-2</v>
      </c>
      <c r="P12" s="12" t="s">
        <v>21</v>
      </c>
      <c r="Q12" s="12">
        <f>Q9*T3</f>
        <v>-2965.8027070381841</v>
      </c>
      <c r="R12" s="14">
        <f>Q12/B2</f>
        <v>-4605.2837065810309</v>
      </c>
      <c r="X12" s="57" t="s">
        <v>85</v>
      </c>
      <c r="Y12" s="57">
        <f>2/360</f>
        <v>5.5555555555555558E-3</v>
      </c>
      <c r="Z12" s="56"/>
      <c r="AA12" s="56"/>
      <c r="AB12" s="56"/>
      <c r="AC12" s="56"/>
      <c r="AD12" s="56"/>
      <c r="AG12" s="71">
        <f t="shared" si="4"/>
        <v>1.1000000000000001</v>
      </c>
      <c r="AJ12" s="72">
        <f t="shared" si="3"/>
        <v>0.1186666666666667</v>
      </c>
    </row>
    <row r="13" spans="1:37" ht="14.7" thickBot="1" x14ac:dyDescent="0.55000000000000004">
      <c r="A13" s="28">
        <v>2.25</v>
      </c>
      <c r="B13" s="28">
        <v>0.6</v>
      </c>
      <c r="C13" s="28">
        <v>0.79400000000000004</v>
      </c>
      <c r="E13">
        <f t="shared" si="0"/>
        <v>8.9686098654708779E-3</v>
      </c>
      <c r="G13">
        <f t="shared" si="1"/>
        <v>3.3444816053511683E-3</v>
      </c>
      <c r="I13">
        <f t="shared" si="2"/>
        <v>-1.9753086419753152E-2</v>
      </c>
      <c r="P13" s="4" t="s">
        <v>22</v>
      </c>
      <c r="Q13" s="3">
        <f>Q9*T4</f>
        <v>-154.00798926591065</v>
      </c>
      <c r="R13" s="14">
        <f>Q13/C2</f>
        <v>-359.83175062128657</v>
      </c>
      <c r="X13" s="57" t="s">
        <v>82</v>
      </c>
      <c r="Y13" s="57">
        <v>0.15</v>
      </c>
      <c r="Z13" s="62" t="s">
        <v>78</v>
      </c>
      <c r="AA13" s="62"/>
      <c r="AB13" s="62" t="s">
        <v>79</v>
      </c>
      <c r="AC13" s="62"/>
      <c r="AD13" s="62" t="s">
        <v>80</v>
      </c>
      <c r="AG13" s="71">
        <f t="shared" si="4"/>
        <v>1.1000000000000001</v>
      </c>
      <c r="AJ13" s="72">
        <f t="shared" si="3"/>
        <v>0.11466666666666669</v>
      </c>
    </row>
    <row r="14" spans="1:37" ht="14.7" thickBot="1" x14ac:dyDescent="0.55000000000000004">
      <c r="A14" s="28">
        <v>2.23</v>
      </c>
      <c r="B14" s="28">
        <v>0.59799999999999998</v>
      </c>
      <c r="C14" s="28">
        <v>0.81</v>
      </c>
      <c r="E14">
        <f t="shared" si="0"/>
        <v>4.5045045045044585E-3</v>
      </c>
      <c r="G14">
        <f t="shared" si="1"/>
        <v>1.7006802721088343E-2</v>
      </c>
      <c r="I14">
        <f t="shared" si="2"/>
        <v>3.1847133757961776E-2</v>
      </c>
      <c r="P14" s="8" t="s">
        <v>23</v>
      </c>
      <c r="Q14" s="9">
        <f>Q11+Q12+Q13</f>
        <v>1699.9999999999998</v>
      </c>
      <c r="S14" t="s">
        <v>92</v>
      </c>
      <c r="X14" s="56" t="s">
        <v>81</v>
      </c>
      <c r="Y14" s="56">
        <f>Y12/2</f>
        <v>2.7777777777777779E-3</v>
      </c>
      <c r="Z14" s="62"/>
      <c r="AA14" s="62"/>
      <c r="AB14" s="62"/>
      <c r="AC14" s="62"/>
      <c r="AD14" s="62"/>
      <c r="AG14" s="71">
        <f t="shared" si="4"/>
        <v>1.1000000000000001</v>
      </c>
      <c r="AJ14" s="72">
        <f t="shared" si="3"/>
        <v>0.11266666666666647</v>
      </c>
    </row>
    <row r="15" spans="1:37" x14ac:dyDescent="0.5">
      <c r="A15" s="28">
        <v>2.2200000000000002</v>
      </c>
      <c r="B15" s="28">
        <v>0.58799999999999997</v>
      </c>
      <c r="C15" s="28">
        <v>0.78500000000000003</v>
      </c>
      <c r="E15">
        <f t="shared" si="0"/>
        <v>-8.9285714285713969E-3</v>
      </c>
      <c r="G15">
        <f t="shared" si="1"/>
        <v>3.4129692832765013E-3</v>
      </c>
      <c r="I15">
        <f t="shared" si="2"/>
        <v>6.4102564102563875E-3</v>
      </c>
      <c r="X15" s="56" t="s">
        <v>77</v>
      </c>
      <c r="Y15" s="56">
        <f>(1+Y16-L37)/(L36-L37)</f>
        <v>0.45021221342415302</v>
      </c>
      <c r="Z15" s="62"/>
      <c r="AA15" s="62"/>
      <c r="AB15" s="62"/>
      <c r="AC15" s="62"/>
      <c r="AD15" s="62"/>
      <c r="AG15" s="71">
        <f t="shared" si="4"/>
        <v>1.1000000000000001</v>
      </c>
      <c r="AJ15" s="72">
        <f t="shared" si="3"/>
        <v>9.766666666666679E-2</v>
      </c>
    </row>
    <row r="16" spans="1:37" x14ac:dyDescent="0.5">
      <c r="A16" s="28">
        <v>2.2400000000000002</v>
      </c>
      <c r="B16" s="28">
        <v>0.58599999999999997</v>
      </c>
      <c r="C16" s="28">
        <v>0.78</v>
      </c>
      <c r="E16">
        <f t="shared" si="0"/>
        <v>0</v>
      </c>
      <c r="G16">
        <f t="shared" si="1"/>
        <v>-1.0135135135135198E-2</v>
      </c>
      <c r="I16">
        <f t="shared" si="2"/>
        <v>1.4304291287386306E-2</v>
      </c>
      <c r="X16" s="56" t="s">
        <v>73</v>
      </c>
      <c r="Y16" s="56">
        <f>(1+Y13)^(Y14)-1</f>
        <v>3.883029878035682E-4</v>
      </c>
      <c r="Z16" s="62"/>
      <c r="AA16" s="62"/>
      <c r="AB16" s="62"/>
      <c r="AC16" s="62"/>
      <c r="AD16" s="62"/>
      <c r="AG16" s="71">
        <f t="shared" si="4"/>
        <v>1.1000000000000001</v>
      </c>
      <c r="AJ16" s="72">
        <f t="shared" si="3"/>
        <v>0.10199999999999987</v>
      </c>
    </row>
    <row r="17" spans="1:36" x14ac:dyDescent="0.5">
      <c r="A17" s="28">
        <v>2.2400000000000002</v>
      </c>
      <c r="B17" s="28">
        <v>0.59199999999999997</v>
      </c>
      <c r="C17" s="28">
        <v>0.76900000000000002</v>
      </c>
      <c r="E17">
        <f t="shared" si="0"/>
        <v>4.484304932735439E-3</v>
      </c>
      <c r="G17">
        <f t="shared" si="1"/>
        <v>1.0238907849829282E-2</v>
      </c>
      <c r="I17">
        <f t="shared" si="2"/>
        <v>1.9893899204244114E-2</v>
      </c>
      <c r="Q17" s="16" t="s">
        <v>27</v>
      </c>
      <c r="R17" s="16">
        <v>2.2799999999999998</v>
      </c>
      <c r="X17" s="57" t="s">
        <v>74</v>
      </c>
      <c r="Y17" s="57">
        <v>0.37</v>
      </c>
      <c r="Z17" s="62"/>
      <c r="AA17" s="62"/>
      <c r="AB17" s="62"/>
      <c r="AC17" s="62"/>
      <c r="AD17" s="62">
        <f>MAX(AD18-Y17,0)</f>
        <v>1.9613147548754295</v>
      </c>
      <c r="AG17" s="71">
        <f t="shared" si="4"/>
        <v>1.1000000000000001</v>
      </c>
      <c r="AJ17" s="72">
        <f t="shared" si="3"/>
        <v>0.10033333333333339</v>
      </c>
    </row>
    <row r="18" spans="1:36" x14ac:dyDescent="0.5">
      <c r="A18" s="28">
        <v>2.23</v>
      </c>
      <c r="B18" s="28">
        <v>0.58599999999999997</v>
      </c>
      <c r="C18" s="28">
        <v>0.754</v>
      </c>
      <c r="E18">
        <f t="shared" si="0"/>
        <v>0</v>
      </c>
      <c r="G18">
        <f t="shared" si="1"/>
        <v>2.447552447552459E-2</v>
      </c>
      <c r="I18">
        <f t="shared" si="2"/>
        <v>-3.9630118890356947E-3</v>
      </c>
      <c r="L18" s="13"/>
      <c r="M18" s="13"/>
      <c r="Q18" s="16" t="s">
        <v>28</v>
      </c>
      <c r="R18" s="16">
        <v>0.64400000000000002</v>
      </c>
      <c r="X18" s="56" t="s">
        <v>88</v>
      </c>
      <c r="Y18" s="56">
        <f>1/(1+Y16)*(Y15*AB19+(1-Y15)*AB26)</f>
        <v>1.9102871769326597</v>
      </c>
      <c r="Z18" s="62"/>
      <c r="AA18" s="62"/>
      <c r="AB18" s="62">
        <f>MAX(AB20-Y17,AB19)</f>
        <v>1.9356582315854989</v>
      </c>
      <c r="AC18" s="62"/>
      <c r="AD18" s="62">
        <f>AB20*L36</f>
        <v>2.3313147548754296</v>
      </c>
      <c r="AE18" s="58"/>
      <c r="AG18" s="71">
        <f t="shared" si="4"/>
        <v>1.1000000000000001</v>
      </c>
      <c r="AJ18" s="72">
        <f t="shared" si="3"/>
        <v>8.9999999999999858E-2</v>
      </c>
    </row>
    <row r="19" spans="1:36" ht="14.7" thickBot="1" x14ac:dyDescent="0.55000000000000004">
      <c r="A19" s="28">
        <v>2.23</v>
      </c>
      <c r="B19" s="28">
        <v>0.57199999999999995</v>
      </c>
      <c r="C19" s="28">
        <v>0.75700000000000001</v>
      </c>
      <c r="E19">
        <f t="shared" si="0"/>
        <v>9.0497737556560764E-3</v>
      </c>
      <c r="G19">
        <f t="shared" si="1"/>
        <v>-1.379310344827589E-2</v>
      </c>
      <c r="I19">
        <f t="shared" si="2"/>
        <v>1.4745308310992078E-2</v>
      </c>
      <c r="L19" s="13"/>
      <c r="M19" s="13"/>
      <c r="Q19" s="16" t="s">
        <v>29</v>
      </c>
      <c r="R19" s="16">
        <v>0.42799999999999999</v>
      </c>
      <c r="X19" s="56" t="s">
        <v>89</v>
      </c>
      <c r="Y19" s="56">
        <f>Y18-Z23+Y17/(1+Y16)^2</f>
        <v>0</v>
      </c>
      <c r="Z19" s="62"/>
      <c r="AA19" s="62"/>
      <c r="AB19" s="62">
        <f>1/(1+Y16)*(Y15*AD17+(1-Y15)*AD21)</f>
        <v>1.9356582315854989</v>
      </c>
      <c r="AC19" s="62"/>
      <c r="AD19" s="62">
        <f>MAX(Y17-AD18,0)</f>
        <v>0</v>
      </c>
      <c r="AG19" s="71">
        <f t="shared" si="4"/>
        <v>1.1000000000000001</v>
      </c>
      <c r="AJ19" s="72">
        <f t="shared" si="3"/>
        <v>8.6333333333333373E-2</v>
      </c>
    </row>
    <row r="20" spans="1:36" ht="14.7" thickBot="1" x14ac:dyDescent="0.55000000000000004">
      <c r="A20" s="28">
        <v>2.21</v>
      </c>
      <c r="B20" s="28">
        <v>0.57999999999999996</v>
      </c>
      <c r="C20" s="28">
        <v>0.746</v>
      </c>
      <c r="E20">
        <f t="shared" si="0"/>
        <v>0</v>
      </c>
      <c r="G20">
        <f t="shared" si="1"/>
        <v>-2.3569023569023573E-2</v>
      </c>
      <c r="I20">
        <f t="shared" si="2"/>
        <v>-3.1168831168831179E-2</v>
      </c>
      <c r="L20" s="13"/>
      <c r="M20" s="13"/>
      <c r="Q20" s="17" t="s">
        <v>26</v>
      </c>
      <c r="R20" s="17">
        <f>R11*$R$17+R12*$R$18+R13*$R$19</f>
        <v>1699.9999999999998</v>
      </c>
      <c r="X20" s="56" t="s">
        <v>86</v>
      </c>
      <c r="Y20" s="56">
        <f>MAX(Z23-Y17,1/(1+Y16)*(Y15*AB18+(1-Y15)*AB24))</f>
        <v>1.9102871769326597</v>
      </c>
      <c r="Z20" s="62"/>
      <c r="AA20" s="62"/>
      <c r="AB20" s="62">
        <f>L36*Z23</f>
        <v>2.3055146152466652</v>
      </c>
      <c r="AC20" s="62"/>
      <c r="AD20" s="62"/>
      <c r="AG20" s="71">
        <f t="shared" si="4"/>
        <v>1.1000000000000001</v>
      </c>
      <c r="AJ20" s="72">
        <f t="shared" si="3"/>
        <v>7.8666666666666663E-2</v>
      </c>
    </row>
    <row r="21" spans="1:36" x14ac:dyDescent="0.5">
      <c r="A21" s="28">
        <v>2.21</v>
      </c>
      <c r="B21" s="28">
        <v>0.59399999999999997</v>
      </c>
      <c r="C21" s="28">
        <v>0.77</v>
      </c>
      <c r="E21">
        <f t="shared" si="0"/>
        <v>-4.5045045045045695E-3</v>
      </c>
      <c r="G21">
        <f t="shared" si="1"/>
        <v>2.4137931034482696E-2</v>
      </c>
      <c r="I21">
        <f t="shared" si="2"/>
        <v>5.2219321148825326E-3</v>
      </c>
      <c r="X21" s="56" t="s">
        <v>87</v>
      </c>
      <c r="Y21" s="56">
        <f>MAX(Y17-Z23,1/(1+Y16)*(Y15*AB21+(1-Y15)*AB27))</f>
        <v>0</v>
      </c>
      <c r="Z21" s="62"/>
      <c r="AA21" s="62"/>
      <c r="AB21" s="62">
        <f>MAX(Y17-AB20,1/(1+Y16)*(Y15*AD19+(1-Y15)*AD23))</f>
        <v>0</v>
      </c>
      <c r="AC21" s="62"/>
      <c r="AD21" s="62">
        <f>MAX(AD22-Y17,0)</f>
        <v>1.9160156376099291</v>
      </c>
      <c r="AG21" s="71">
        <f t="shared" si="4"/>
        <v>1.1000000000000001</v>
      </c>
      <c r="AJ21" s="72">
        <f t="shared" si="3"/>
        <v>9.1333333333333266E-2</v>
      </c>
    </row>
    <row r="22" spans="1:36" x14ac:dyDescent="0.5">
      <c r="A22" s="28">
        <v>2.2200000000000002</v>
      </c>
      <c r="B22" s="28">
        <v>0.57999999999999996</v>
      </c>
      <c r="C22" s="28">
        <v>0.76600000000000001</v>
      </c>
      <c r="E22">
        <f t="shared" si="0"/>
        <v>-4.4843049327353279E-3</v>
      </c>
      <c r="G22">
        <f t="shared" si="1"/>
        <v>-1.3605442176870763E-2</v>
      </c>
      <c r="I22">
        <f t="shared" si="2"/>
        <v>1.3227513227513255E-2</v>
      </c>
      <c r="K22" s="18"/>
      <c r="L22" s="20" t="s">
        <v>33</v>
      </c>
      <c r="M22" s="18"/>
      <c r="N22" s="18"/>
      <c r="X22" s="56"/>
      <c r="Y22" s="56"/>
      <c r="Z22" s="62"/>
      <c r="AA22" s="62"/>
      <c r="AB22" s="62"/>
      <c r="AC22" s="62"/>
      <c r="AD22" s="62">
        <f>AB20*L37</f>
        <v>2.2860156376099292</v>
      </c>
      <c r="AE22" s="13"/>
      <c r="AG22" s="71">
        <f t="shared" si="4"/>
        <v>1.1000000000000001</v>
      </c>
      <c r="AJ22" s="72">
        <f t="shared" si="3"/>
        <v>8.8666666666666671E-2</v>
      </c>
    </row>
    <row r="23" spans="1:36" ht="14.7" thickBot="1" x14ac:dyDescent="0.55000000000000004">
      <c r="A23" s="28">
        <v>2.23</v>
      </c>
      <c r="B23" s="28">
        <v>0.58799999999999997</v>
      </c>
      <c r="C23" s="28">
        <v>0.75600000000000001</v>
      </c>
      <c r="E23">
        <f t="shared" si="0"/>
        <v>0</v>
      </c>
      <c r="G23">
        <f t="shared" si="1"/>
        <v>6.8493150684931781E-3</v>
      </c>
      <c r="I23">
        <f t="shared" si="2"/>
        <v>-5.7356608478803084E-2</v>
      </c>
      <c r="K23" s="18"/>
      <c r="L23" s="18" t="s">
        <v>34</v>
      </c>
      <c r="M23" s="18" t="s">
        <v>35</v>
      </c>
      <c r="N23" s="18" t="s">
        <v>36</v>
      </c>
      <c r="X23" s="56"/>
      <c r="Y23" s="56"/>
      <c r="Z23" s="63">
        <f>A2</f>
        <v>2.2799999999999998</v>
      </c>
      <c r="AA23" s="62"/>
      <c r="AB23" s="62"/>
      <c r="AC23" s="62"/>
      <c r="AD23" s="62">
        <f>MAX(Y17-AD22,0)</f>
        <v>0</v>
      </c>
      <c r="AG23" s="71">
        <f t="shared" si="4"/>
        <v>1.1000000000000001</v>
      </c>
      <c r="AJ23" s="72">
        <f t="shared" si="3"/>
        <v>9.1333333333333266E-2</v>
      </c>
    </row>
    <row r="24" spans="1:36" ht="14.7" thickBot="1" x14ac:dyDescent="0.55000000000000004">
      <c r="A24" s="28">
        <v>2.23</v>
      </c>
      <c r="B24" s="28">
        <v>0.58399999999999996</v>
      </c>
      <c r="C24" s="28">
        <v>0.80200000000000005</v>
      </c>
      <c r="E24">
        <f t="shared" si="0"/>
        <v>-8.8888888888889461E-3</v>
      </c>
      <c r="G24">
        <f t="shared" si="1"/>
        <v>-6.8027210884353817E-3</v>
      </c>
      <c r="I24">
        <f t="shared" si="2"/>
        <v>-4.5238095238095188E-2</v>
      </c>
      <c r="K24" s="18" t="s">
        <v>34</v>
      </c>
      <c r="L24" s="32">
        <f>F2</f>
        <v>2.516005540254865E-4</v>
      </c>
      <c r="M24" s="33">
        <f>L2</f>
        <v>5.6690434570292831E-5</v>
      </c>
      <c r="N24" s="31">
        <f>M2</f>
        <v>6.7860106525898702E-5</v>
      </c>
      <c r="X24" s="56"/>
      <c r="Y24" s="56"/>
      <c r="Z24" s="62"/>
      <c r="AA24" s="62"/>
      <c r="AB24" s="62">
        <f>MAX(AB25-Y17,AB26)</f>
        <v>1.8908604295319686</v>
      </c>
      <c r="AC24" s="62"/>
      <c r="AD24" s="62"/>
      <c r="AG24" s="71">
        <f t="shared" si="4"/>
        <v>1.1000000000000001</v>
      </c>
      <c r="AJ24" s="72">
        <f t="shared" si="3"/>
        <v>0.10533333333333328</v>
      </c>
    </row>
    <row r="25" spans="1:36" ht="14.7" thickBot="1" x14ac:dyDescent="0.55000000000000004">
      <c r="A25" s="28">
        <v>2.25</v>
      </c>
      <c r="B25" s="28">
        <v>0.58799999999999997</v>
      </c>
      <c r="C25" s="28">
        <v>0.84</v>
      </c>
      <c r="E25">
        <f t="shared" si="0"/>
        <v>0</v>
      </c>
      <c r="G25">
        <f t="shared" si="1"/>
        <v>-1.6722408026755842E-2</v>
      </c>
      <c r="I25">
        <f t="shared" si="2"/>
        <v>3.0674846625766916E-2</v>
      </c>
      <c r="K25" s="18" t="s">
        <v>35</v>
      </c>
      <c r="L25" s="32">
        <f>L2</f>
        <v>5.6690434570292831E-5</v>
      </c>
      <c r="M25" s="33">
        <f>H2</f>
        <v>7.7468006960225964E-4</v>
      </c>
      <c r="N25" s="31">
        <f>N2</f>
        <v>6.4954196802426947E-4</v>
      </c>
      <c r="X25" s="56"/>
      <c r="Y25" s="56"/>
      <c r="Z25" s="62"/>
      <c r="AA25" s="62"/>
      <c r="AB25" s="62">
        <f>Z23*L37</f>
        <v>2.260716813193135</v>
      </c>
      <c r="AC25" s="62"/>
      <c r="AD25" s="62"/>
      <c r="AG25" s="71">
        <f t="shared" si="4"/>
        <v>1.1000000000000001</v>
      </c>
      <c r="AJ25" s="72">
        <f t="shared" si="3"/>
        <v>0.12599999999999989</v>
      </c>
    </row>
    <row r="26" spans="1:36" ht="14.7" thickBot="1" x14ac:dyDescent="0.55000000000000004">
      <c r="A26" s="28">
        <v>2.25</v>
      </c>
      <c r="B26" s="28">
        <v>0.59799999999999998</v>
      </c>
      <c r="C26" s="28">
        <v>0.81499999999999995</v>
      </c>
      <c r="E26">
        <f t="shared" si="0"/>
        <v>8.9686098654708779E-3</v>
      </c>
      <c r="G26">
        <f t="shared" si="1"/>
        <v>1.3559322033898313E-2</v>
      </c>
      <c r="I26">
        <f t="shared" si="2"/>
        <v>9.2493297587131318E-2</v>
      </c>
      <c r="K26" s="18" t="s">
        <v>36</v>
      </c>
      <c r="L26" s="32">
        <f>M2</f>
        <v>6.7860106525898702E-5</v>
      </c>
      <c r="M26" s="33">
        <f>N2</f>
        <v>6.4954196802426947E-4</v>
      </c>
      <c r="N26" s="19">
        <f>J2</f>
        <v>4.3399258281555048E-3</v>
      </c>
      <c r="X26" s="56"/>
      <c r="Y26" s="56"/>
      <c r="Z26" s="62"/>
      <c r="AA26" s="62"/>
      <c r="AB26" s="62">
        <f>1/(1+Y16)*(Y15*AD21+(1-Y15)*AD26)</f>
        <v>1.8908604295319686</v>
      </c>
      <c r="AC26" s="62"/>
      <c r="AD26" s="62">
        <f>MAX(AD27-Y17,0)</f>
        <v>1.8715967146728616</v>
      </c>
      <c r="AG26" s="71">
        <f t="shared" si="4"/>
        <v>1.1000000000000001</v>
      </c>
      <c r="AJ26" s="72">
        <f t="shared" si="3"/>
        <v>0.12099999999999977</v>
      </c>
    </row>
    <row r="27" spans="1:36" x14ac:dyDescent="0.5">
      <c r="A27" s="28">
        <v>2.23</v>
      </c>
      <c r="B27" s="28">
        <v>0.59</v>
      </c>
      <c r="C27" s="28">
        <v>0.746</v>
      </c>
      <c r="E27">
        <f t="shared" si="0"/>
        <v>-8.8888888888889461E-3</v>
      </c>
      <c r="G27">
        <f t="shared" si="1"/>
        <v>3.5087719298245723E-2</v>
      </c>
      <c r="I27">
        <f t="shared" si="2"/>
        <v>4.3356643356643465E-2</v>
      </c>
      <c r="K27" s="21" t="s">
        <v>40</v>
      </c>
      <c r="L27" s="22"/>
      <c r="M27" s="22"/>
      <c r="N27" s="22"/>
      <c r="Q27" s="39" t="s">
        <v>49</v>
      </c>
      <c r="R27" s="40"/>
      <c r="S27" s="40"/>
      <c r="T27" s="40"/>
      <c r="U27" s="40"/>
      <c r="V27" s="40"/>
      <c r="W27" s="40"/>
      <c r="X27" s="56"/>
      <c r="Y27" s="56"/>
      <c r="Z27" s="62"/>
      <c r="AA27" s="62"/>
      <c r="AB27" s="62">
        <f>MAX(Y17-AB25,1/(1+Y16)*(Y15*AD23+(1-Y15)*AD28))</f>
        <v>0</v>
      </c>
      <c r="AC27" s="62"/>
      <c r="AD27" s="62">
        <f>AB25*L37</f>
        <v>2.2415967146728617</v>
      </c>
      <c r="AE27" s="13"/>
      <c r="AG27" s="71">
        <f t="shared" si="4"/>
        <v>1.1000000000000001</v>
      </c>
      <c r="AJ27" s="72">
        <f t="shared" si="3"/>
        <v>8.8666666666666449E-2</v>
      </c>
    </row>
    <row r="28" spans="1:36" x14ac:dyDescent="0.5">
      <c r="A28" s="28">
        <v>2.25</v>
      </c>
      <c r="B28" s="28">
        <v>0.56999999999999995</v>
      </c>
      <c r="C28" s="28">
        <v>0.71499999999999997</v>
      </c>
      <c r="E28">
        <f t="shared" si="0"/>
        <v>0</v>
      </c>
      <c r="G28">
        <f t="shared" si="1"/>
        <v>3.5211267605634866E-3</v>
      </c>
      <c r="I28">
        <f t="shared" si="2"/>
        <v>-7.383419689119175E-2</v>
      </c>
      <c r="K28" s="23" t="s">
        <v>37</v>
      </c>
      <c r="L28" s="22">
        <f>P2</f>
        <v>0.17848689138576773</v>
      </c>
      <c r="M28" s="22"/>
      <c r="N28" s="22"/>
      <c r="Q28" s="40" t="s">
        <v>56</v>
      </c>
      <c r="R28" s="40"/>
      <c r="S28" s="40"/>
      <c r="T28" s="40"/>
      <c r="U28" s="40"/>
      <c r="V28" s="40"/>
      <c r="W28" s="40"/>
      <c r="X28" s="56"/>
      <c r="Y28" s="56"/>
      <c r="Z28" s="62"/>
      <c r="AA28" s="62"/>
      <c r="AB28" s="62"/>
      <c r="AC28" s="62"/>
      <c r="AD28" s="62">
        <f>MAX(Y17-AD27,0)</f>
        <v>0</v>
      </c>
      <c r="AG28" s="71">
        <f t="shared" si="4"/>
        <v>1.1000000000000001</v>
      </c>
      <c r="AJ28" s="72">
        <f t="shared" si="3"/>
        <v>7.8333333333333144E-2</v>
      </c>
    </row>
    <row r="29" spans="1:36" x14ac:dyDescent="0.5">
      <c r="A29" s="28">
        <v>2.25</v>
      </c>
      <c r="B29" s="28">
        <v>0.56799999999999995</v>
      </c>
      <c r="C29" s="28">
        <v>0.77200000000000002</v>
      </c>
      <c r="E29">
        <f t="shared" si="0"/>
        <v>-4.4247787610618428E-3</v>
      </c>
      <c r="G29">
        <f t="shared" si="1"/>
        <v>0</v>
      </c>
      <c r="I29">
        <f t="shared" si="2"/>
        <v>-5.85365853658536E-2</v>
      </c>
      <c r="K29" s="23" t="s">
        <v>38</v>
      </c>
      <c r="L29" s="22">
        <f>Q2</f>
        <v>3.6845552689381707E-3</v>
      </c>
      <c r="M29" s="22"/>
      <c r="N29" s="22"/>
      <c r="Q29" s="40" t="s">
        <v>50</v>
      </c>
      <c r="R29" s="40"/>
      <c r="S29" s="40"/>
      <c r="T29" s="40"/>
      <c r="U29" s="40"/>
      <c r="V29" s="40"/>
      <c r="W29" s="40"/>
      <c r="X29" s="56"/>
      <c r="Y29" s="56"/>
      <c r="Z29" s="56"/>
      <c r="AA29" s="56"/>
      <c r="AB29" s="56"/>
      <c r="AC29" s="56"/>
      <c r="AD29" s="56"/>
      <c r="AG29" s="71">
        <f t="shared" si="4"/>
        <v>1.1000000000000001</v>
      </c>
      <c r="AJ29" s="72">
        <f t="shared" si="3"/>
        <v>9.6666666666666456E-2</v>
      </c>
    </row>
    <row r="30" spans="1:36" x14ac:dyDescent="0.5">
      <c r="A30" s="28">
        <v>2.2599999999999998</v>
      </c>
      <c r="B30" s="28">
        <v>0.56799999999999995</v>
      </c>
      <c r="C30" s="28">
        <v>0.82</v>
      </c>
      <c r="E30">
        <f t="shared" si="0"/>
        <v>-4.4052863436124801E-3</v>
      </c>
      <c r="G30">
        <f t="shared" si="1"/>
        <v>-1.0452961672473893E-2</v>
      </c>
      <c r="I30">
        <f t="shared" si="2"/>
        <v>-6.1784897025171648E-2</v>
      </c>
      <c r="K30" s="23" t="s">
        <v>39</v>
      </c>
      <c r="L30" s="22">
        <f>R2</f>
        <v>-4.2506572607665582E-3</v>
      </c>
      <c r="M30" s="22"/>
      <c r="N30" s="22"/>
      <c r="Q30" s="40" t="s">
        <v>51</v>
      </c>
      <c r="R30" s="40"/>
      <c r="S30" s="40"/>
      <c r="T30" s="40"/>
      <c r="U30" s="40"/>
      <c r="V30" s="40"/>
      <c r="W30" s="40"/>
      <c r="X30" s="56"/>
      <c r="Y30" s="56"/>
      <c r="Z30" s="56"/>
      <c r="AA30" s="56"/>
      <c r="AB30" s="56"/>
      <c r="AC30" s="56"/>
      <c r="AD30" s="56"/>
      <c r="AG30" s="71">
        <f t="shared" si="4"/>
        <v>1.1000000000000001</v>
      </c>
      <c r="AJ30" s="72">
        <f t="shared" si="3"/>
        <v>0.11599999999999988</v>
      </c>
    </row>
    <row r="31" spans="1:36" x14ac:dyDescent="0.5">
      <c r="A31" s="28">
        <v>2.27</v>
      </c>
      <c r="B31" s="28">
        <v>0.57399999999999995</v>
      </c>
      <c r="C31" s="28">
        <v>0.874</v>
      </c>
      <c r="E31">
        <f t="shared" si="0"/>
        <v>1.3392857142856984E-2</v>
      </c>
      <c r="G31">
        <f t="shared" si="1"/>
        <v>0</v>
      </c>
      <c r="I31">
        <f t="shared" si="2"/>
        <v>2.9446407538280317E-2</v>
      </c>
      <c r="K31" s="24" t="s">
        <v>41</v>
      </c>
      <c r="L31" s="25"/>
      <c r="M31" s="25"/>
      <c r="N31" s="25"/>
      <c r="Q31" s="40" t="s">
        <v>52</v>
      </c>
      <c r="R31" s="40"/>
      <c r="S31" s="40"/>
      <c r="T31" s="40"/>
      <c r="U31" s="40"/>
      <c r="V31" s="40"/>
      <c r="W31" s="40"/>
      <c r="AG31" s="71">
        <f t="shared" si="4"/>
        <v>1.1000000000000001</v>
      </c>
      <c r="AJ31" s="72">
        <f t="shared" si="3"/>
        <v>0.13933333333333331</v>
      </c>
    </row>
    <row r="32" spans="1:36" x14ac:dyDescent="0.5">
      <c r="A32" s="28">
        <v>2.2400000000000002</v>
      </c>
      <c r="B32" s="28">
        <v>0.57399999999999995</v>
      </c>
      <c r="C32" s="28">
        <v>0.84899999999999998</v>
      </c>
      <c r="E32">
        <f t="shared" si="0"/>
        <v>1.8181818181818299E-2</v>
      </c>
      <c r="G32">
        <f t="shared" si="1"/>
        <v>-1.0344827586206917E-2</v>
      </c>
      <c r="I32">
        <f t="shared" si="2"/>
        <v>4.7337278106509562E-3</v>
      </c>
      <c r="K32" s="26" t="s">
        <v>30</v>
      </c>
      <c r="L32" s="25">
        <f>T2</f>
        <v>2.8351827625318204</v>
      </c>
      <c r="M32" s="25"/>
      <c r="N32" s="25"/>
      <c r="Q32" s="40" t="s">
        <v>95</v>
      </c>
      <c r="R32" s="40"/>
      <c r="S32" s="40"/>
      <c r="T32" s="40"/>
      <c r="U32" s="40"/>
      <c r="V32" s="40"/>
      <c r="W32" s="40"/>
      <c r="AG32" s="71">
        <f t="shared" si="4"/>
        <v>1.1000000000000001</v>
      </c>
      <c r="AJ32" s="72">
        <f t="shared" si="3"/>
        <v>0.121</v>
      </c>
    </row>
    <row r="33" spans="1:36" x14ac:dyDescent="0.5">
      <c r="A33" s="28">
        <v>2.2000000000000002</v>
      </c>
      <c r="B33" s="28">
        <v>0.57999999999999996</v>
      </c>
      <c r="C33" s="28">
        <v>0.84499999999999997</v>
      </c>
      <c r="E33">
        <f t="shared" si="0"/>
        <v>-3.083700440528625E-2</v>
      </c>
      <c r="G33">
        <f t="shared" si="1"/>
        <v>-1.0238907849829393E-2</v>
      </c>
      <c r="I33">
        <f t="shared" si="2"/>
        <v>-1.2850467289719614E-2</v>
      </c>
      <c r="K33" s="26" t="s">
        <v>31</v>
      </c>
      <c r="L33" s="25">
        <f>T3</f>
        <v>-1.74458982766952</v>
      </c>
      <c r="M33" s="25"/>
      <c r="N33" s="25"/>
      <c r="Q33" s="40" t="s">
        <v>57</v>
      </c>
      <c r="R33" s="40"/>
      <c r="S33" s="40"/>
      <c r="T33" s="40"/>
      <c r="U33" s="40"/>
      <c r="V33" s="40"/>
      <c r="W33" s="40"/>
      <c r="AG33" s="71">
        <f t="shared" si="4"/>
        <v>1.1000000000000001</v>
      </c>
      <c r="AJ33" s="72">
        <f t="shared" si="3"/>
        <v>0.10833333333333317</v>
      </c>
    </row>
    <row r="34" spans="1:36" x14ac:dyDescent="0.5">
      <c r="A34" s="28">
        <v>2.27</v>
      </c>
      <c r="B34" s="28">
        <v>0.58599999999999997</v>
      </c>
      <c r="C34" s="28">
        <v>0.85599999999999998</v>
      </c>
      <c r="E34">
        <f t="shared" si="0"/>
        <v>-4.3859649122806044E-3</v>
      </c>
      <c r="G34">
        <f t="shared" si="1"/>
        <v>0</v>
      </c>
      <c r="I34">
        <f t="shared" si="2"/>
        <v>-1.0404624277456698E-2</v>
      </c>
      <c r="K34" s="26" t="s">
        <v>32</v>
      </c>
      <c r="L34" s="25">
        <f>T4</f>
        <v>-9.0592934862300384E-2</v>
      </c>
      <c r="M34" s="25"/>
      <c r="N34" s="25"/>
      <c r="Q34" s="40" t="s">
        <v>53</v>
      </c>
      <c r="R34" s="40"/>
      <c r="S34" s="40"/>
      <c r="T34" s="40"/>
      <c r="U34" s="40"/>
      <c r="V34" s="40"/>
      <c r="W34" s="40"/>
      <c r="AG34" s="71">
        <f t="shared" si="4"/>
        <v>1.1000000000000001</v>
      </c>
      <c r="AJ34" s="72">
        <f t="shared" si="3"/>
        <v>0.13733333333333309</v>
      </c>
    </row>
    <row r="35" spans="1:36" x14ac:dyDescent="0.5">
      <c r="A35" s="28">
        <v>2.2799999999999998</v>
      </c>
      <c r="B35" s="28">
        <v>0.58599999999999997</v>
      </c>
      <c r="C35" s="28">
        <v>0.86499999999999999</v>
      </c>
      <c r="E35">
        <f t="shared" si="0"/>
        <v>1.7857142857142572E-2</v>
      </c>
      <c r="G35">
        <f t="shared" si="1"/>
        <v>-1.6778523489932917E-2</v>
      </c>
      <c r="I35">
        <f t="shared" si="2"/>
        <v>-2.8089887640449507E-2</v>
      </c>
      <c r="K35" s="38" t="s">
        <v>45</v>
      </c>
      <c r="L35" s="29"/>
      <c r="M35" s="29"/>
      <c r="N35" s="29"/>
      <c r="Q35" s="40" t="s">
        <v>58</v>
      </c>
      <c r="R35" s="40"/>
      <c r="S35" s="40"/>
      <c r="T35" s="40"/>
      <c r="U35" s="40"/>
      <c r="V35" s="40"/>
      <c r="W35" s="40"/>
      <c r="AG35" s="71">
        <f t="shared" si="4"/>
        <v>1.1000000000000001</v>
      </c>
      <c r="AJ35" s="72">
        <f t="shared" si="3"/>
        <v>0.14366666666666661</v>
      </c>
    </row>
    <row r="36" spans="1:36" x14ac:dyDescent="0.5">
      <c r="A36" s="28">
        <v>2.2400000000000002</v>
      </c>
      <c r="B36" s="28">
        <v>0.59599999999999997</v>
      </c>
      <c r="C36" s="28">
        <v>0.89</v>
      </c>
      <c r="E36">
        <f t="shared" si="0"/>
        <v>-3.4482758620689502E-2</v>
      </c>
      <c r="G36">
        <f t="shared" si="1"/>
        <v>1.3605442176870763E-2</v>
      </c>
      <c r="I36">
        <f t="shared" si="2"/>
        <v>-1.1111111111111072E-2</v>
      </c>
      <c r="K36" s="30" t="s">
        <v>43</v>
      </c>
      <c r="L36" s="29">
        <f>1+AVERAGEIF(E1:E90,"&gt;=0")</f>
        <v>1.0111906207222217</v>
      </c>
      <c r="M36" s="29">
        <f>1+AVERAGEIF(G2:G90,"&gt;=0")</f>
        <v>1.0201219138835114</v>
      </c>
      <c r="N36" s="29">
        <f>1+AVERAGEIF(I2:I90,"&gt;=0")</f>
        <v>1.0379837121909559</v>
      </c>
      <c r="Q36" s="40" t="s">
        <v>54</v>
      </c>
      <c r="R36" s="40"/>
      <c r="S36" s="40"/>
      <c r="T36" s="40"/>
      <c r="U36" s="40"/>
      <c r="V36" s="40"/>
      <c r="W36" s="40"/>
      <c r="AG36" s="71">
        <f t="shared" si="4"/>
        <v>1.1000000000000001</v>
      </c>
      <c r="AJ36" s="72">
        <f t="shared" si="3"/>
        <v>0.14200000000000013</v>
      </c>
    </row>
    <row r="37" spans="1:36" x14ac:dyDescent="0.5">
      <c r="A37" s="28">
        <v>2.3199999999999998</v>
      </c>
      <c r="B37" s="28">
        <v>0.58799999999999997</v>
      </c>
      <c r="C37" s="28">
        <v>0.9</v>
      </c>
      <c r="E37">
        <f t="shared" si="0"/>
        <v>0</v>
      </c>
      <c r="G37">
        <f t="shared" si="1"/>
        <v>-1.6722408026755842E-2</v>
      </c>
      <c r="I37">
        <f t="shared" si="2"/>
        <v>-2.1739130434782594E-2</v>
      </c>
      <c r="K37" s="30" t="s">
        <v>44</v>
      </c>
      <c r="L37" s="29">
        <f>1+AVERAGEIF(E2:E90,"&lt;=0")</f>
        <v>0.99154246192681372</v>
      </c>
      <c r="M37" s="29">
        <f>1+AVERAGEIF(G2:G90,"&lt;=0")</f>
        <v>0.98448239579725372</v>
      </c>
      <c r="N37" s="29">
        <f>1+AVERAGEIF(I2:I90,"&lt;=0")</f>
        <v>0.9536094323377502</v>
      </c>
      <c r="Q37" s="40"/>
      <c r="R37" s="40"/>
      <c r="S37" s="40"/>
      <c r="T37" s="40"/>
      <c r="U37" s="40"/>
      <c r="V37" s="40"/>
      <c r="W37" s="40"/>
      <c r="AG37" s="71">
        <f t="shared" si="4"/>
        <v>1.1000000000000001</v>
      </c>
      <c r="AJ37" s="72">
        <f t="shared" si="3"/>
        <v>0.16933333333333311</v>
      </c>
    </row>
    <row r="38" spans="1:36" x14ac:dyDescent="0.5">
      <c r="A38" s="28">
        <v>2.3199999999999998</v>
      </c>
      <c r="B38" s="28">
        <v>0.59799999999999998</v>
      </c>
      <c r="C38" s="28">
        <v>0.92</v>
      </c>
      <c r="E38">
        <f t="shared" si="0"/>
        <v>4.3290043290042934E-3</v>
      </c>
      <c r="G38">
        <f t="shared" si="1"/>
        <v>4.9122807017544012E-2</v>
      </c>
      <c r="I38">
        <f t="shared" si="2"/>
        <v>3.3707865168539408E-2</v>
      </c>
      <c r="K38" s="30" t="s">
        <v>24</v>
      </c>
      <c r="L38" s="29">
        <f>L36*L37</f>
        <v>1.0026384375482147</v>
      </c>
      <c r="M38" s="29">
        <f>M36*M37</f>
        <v>1.0042920657853189</v>
      </c>
      <c r="N38" s="29">
        <f>N36*N37</f>
        <v>0.98983105855824804</v>
      </c>
      <c r="Q38" s="40" t="s">
        <v>71</v>
      </c>
      <c r="R38" s="40"/>
      <c r="S38" s="55" t="s">
        <v>72</v>
      </c>
      <c r="T38" s="40"/>
      <c r="U38" s="40"/>
      <c r="V38" s="40"/>
      <c r="W38" s="40"/>
      <c r="AG38" s="71">
        <f t="shared" si="4"/>
        <v>1.1000000000000001</v>
      </c>
      <c r="AJ38" s="72">
        <f t="shared" si="3"/>
        <v>0.17933333333333312</v>
      </c>
    </row>
    <row r="39" spans="1:36" ht="17.7" x14ac:dyDescent="0.55000000000000004">
      <c r="A39" s="28">
        <v>2.31</v>
      </c>
      <c r="B39" s="28">
        <v>0.56999999999999995</v>
      </c>
      <c r="C39" s="28">
        <v>0.89</v>
      </c>
      <c r="E39">
        <f t="shared" si="0"/>
        <v>-1.7021276595744705E-2</v>
      </c>
      <c r="G39">
        <f t="shared" si="1"/>
        <v>-3.3898305084745783E-2</v>
      </c>
      <c r="I39">
        <f t="shared" si="2"/>
        <v>-4.094827586206895E-2</v>
      </c>
      <c r="K39" s="34" t="s">
        <v>47</v>
      </c>
      <c r="L39" s="35"/>
      <c r="M39" s="35"/>
      <c r="N39" s="35"/>
      <c r="O39" s="35"/>
      <c r="P39" s="35"/>
      <c r="Q39" s="35"/>
      <c r="R39" s="35"/>
      <c r="AG39" s="71">
        <f t="shared" si="4"/>
        <v>1.1000000000000001</v>
      </c>
      <c r="AJ39" s="72">
        <f t="shared" si="3"/>
        <v>0.15666666666666651</v>
      </c>
    </row>
    <row r="40" spans="1:36" ht="18" x14ac:dyDescent="0.6">
      <c r="A40" s="28">
        <v>2.35</v>
      </c>
      <c r="B40" s="28">
        <v>0.59</v>
      </c>
      <c r="C40" s="28">
        <v>0.92800000000000005</v>
      </c>
      <c r="E40">
        <f t="shared" si="0"/>
        <v>1.2931034482758674E-2</v>
      </c>
      <c r="G40">
        <f t="shared" si="1"/>
        <v>3.5087719298245723E-2</v>
      </c>
      <c r="I40">
        <f t="shared" si="2"/>
        <v>7.6004343105320338E-3</v>
      </c>
      <c r="K40" s="36" t="s">
        <v>48</v>
      </c>
      <c r="L40" s="35">
        <v>0.5</v>
      </c>
      <c r="M40" s="35" t="s">
        <v>59</v>
      </c>
      <c r="N40" s="35"/>
      <c r="O40" s="35"/>
      <c r="P40" s="35"/>
      <c r="Q40" s="35">
        <f>MIN(L28:L30)</f>
        <v>-4.2506572607665582E-3</v>
      </c>
      <c r="R40" s="35">
        <f>MAX(L28:L30)</f>
        <v>0.17848689138576773</v>
      </c>
      <c r="AG40" s="71">
        <f t="shared" si="4"/>
        <v>1.1000000000000001</v>
      </c>
      <c r="AJ40" s="72">
        <f t="shared" si="3"/>
        <v>0.18933333333333313</v>
      </c>
    </row>
    <row r="41" spans="1:36" ht="18" x14ac:dyDescent="0.6">
      <c r="A41" s="28">
        <v>2.3199999999999998</v>
      </c>
      <c r="B41" s="28">
        <v>0.56999999999999995</v>
      </c>
      <c r="C41" s="28">
        <v>0.92100000000000004</v>
      </c>
      <c r="E41">
        <f t="shared" si="0"/>
        <v>-1.276595744680864E-2</v>
      </c>
      <c r="G41">
        <f t="shared" si="1"/>
        <v>-1.041666666666663E-2</v>
      </c>
      <c r="I41">
        <f t="shared" si="2"/>
        <v>-9.4395280235988088E-2</v>
      </c>
      <c r="K41" s="36" t="s">
        <v>46</v>
      </c>
      <c r="L41" s="35">
        <f>T7</f>
        <v>4.0255100802522774E-3</v>
      </c>
      <c r="M41" s="35"/>
      <c r="N41" s="35"/>
      <c r="O41" s="35"/>
      <c r="P41" s="35"/>
      <c r="Q41" s="35"/>
      <c r="R41" s="35"/>
      <c r="AG41" s="71">
        <f t="shared" si="4"/>
        <v>1.1000000000000001</v>
      </c>
      <c r="AJ41" s="72">
        <f t="shared" si="3"/>
        <v>0.17033333333333323</v>
      </c>
    </row>
    <row r="42" spans="1:36" x14ac:dyDescent="0.5">
      <c r="A42" s="28">
        <v>2.35</v>
      </c>
      <c r="B42" s="28">
        <v>0.57599999999999996</v>
      </c>
      <c r="C42" s="28">
        <v>1.0169999999999999</v>
      </c>
      <c r="E42">
        <f t="shared" si="0"/>
        <v>-4.237288135593098E-3</v>
      </c>
      <c r="G42">
        <f t="shared" si="1"/>
        <v>-3.3557046979865834E-2</v>
      </c>
      <c r="I42">
        <f t="shared" si="2"/>
        <v>-3.1428571428571583E-2</v>
      </c>
      <c r="AG42" s="71">
        <f t="shared" si="4"/>
        <v>1.1000000000000001</v>
      </c>
      <c r="AJ42" s="72">
        <f t="shared" si="3"/>
        <v>0.21433333333333326</v>
      </c>
    </row>
    <row r="43" spans="1:36" ht="18" x14ac:dyDescent="0.6">
      <c r="A43" s="28">
        <v>2.36</v>
      </c>
      <c r="B43" s="28">
        <v>0.59599999999999997</v>
      </c>
      <c r="C43" s="28">
        <v>1.05</v>
      </c>
      <c r="E43">
        <f t="shared" si="0"/>
        <v>-8.4033613445377853E-3</v>
      </c>
      <c r="G43">
        <f t="shared" si="1"/>
        <v>3.3670033670034627E-3</v>
      </c>
      <c r="I43">
        <f t="shared" si="2"/>
        <v>-2.777777777777779E-2</v>
      </c>
      <c r="K43" s="51" t="s">
        <v>94</v>
      </c>
      <c r="X43" s="56"/>
      <c r="Y43" s="56"/>
      <c r="Z43" s="56"/>
      <c r="AA43" s="56"/>
      <c r="AB43" s="56"/>
      <c r="AG43" s="71">
        <f t="shared" si="4"/>
        <v>1.1000000000000001</v>
      </c>
      <c r="AJ43" s="72">
        <f t="shared" si="3"/>
        <v>0.23533333333333339</v>
      </c>
    </row>
    <row r="44" spans="1:36" ht="18" x14ac:dyDescent="0.6">
      <c r="A44" s="28">
        <v>2.38</v>
      </c>
      <c r="B44" s="28">
        <v>0.59399999999999997</v>
      </c>
      <c r="C44" s="28">
        <v>1.08</v>
      </c>
      <c r="E44">
        <f t="shared" si="0"/>
        <v>1.2765957446808418E-2</v>
      </c>
      <c r="G44">
        <f t="shared" si="1"/>
        <v>-2.6229508196721318E-2</v>
      </c>
      <c r="I44">
        <f t="shared" si="2"/>
        <v>-2.6149684400360584E-2</v>
      </c>
      <c r="M44" s="43" t="s">
        <v>62</v>
      </c>
      <c r="X44" s="56"/>
      <c r="Y44" s="56"/>
      <c r="Z44" s="56"/>
      <c r="AA44" s="56"/>
      <c r="AB44" s="56"/>
      <c r="AG44" s="71">
        <f t="shared" si="4"/>
        <v>1.1000000000000001</v>
      </c>
      <c r="AJ44" s="72">
        <f t="shared" si="3"/>
        <v>0.25133333333333341</v>
      </c>
    </row>
    <row r="45" spans="1:36" ht="20.7" x14ac:dyDescent="0.7">
      <c r="A45" s="28">
        <v>2.35</v>
      </c>
      <c r="B45" s="28">
        <v>0.61</v>
      </c>
      <c r="C45" s="28">
        <v>1.109</v>
      </c>
      <c r="E45">
        <f t="shared" si="0"/>
        <v>-2.0833333333333259E-2</v>
      </c>
      <c r="G45">
        <f t="shared" si="1"/>
        <v>3.3898305084745894E-2</v>
      </c>
      <c r="I45">
        <f t="shared" si="2"/>
        <v>2.6851851851851682E-2</v>
      </c>
      <c r="J45" s="41" t="s">
        <v>61</v>
      </c>
      <c r="K45" s="49">
        <v>1E-3</v>
      </c>
      <c r="L45" s="41" t="s">
        <v>64</v>
      </c>
      <c r="M45" s="42"/>
      <c r="N45" s="42"/>
      <c r="O45" s="50">
        <f>-Q9*_xlfn.NORM.INV(K45,L40,SQRT(L41))</f>
        <v>-516.68833804893802</v>
      </c>
      <c r="P45" s="41" t="s">
        <v>63</v>
      </c>
      <c r="Q45" s="47"/>
      <c r="X45" s="56"/>
      <c r="Y45" s="56"/>
      <c r="Z45" s="56"/>
      <c r="AA45" s="56"/>
      <c r="AB45" s="56"/>
      <c r="AG45" s="71">
        <f t="shared" si="4"/>
        <v>1.1000000000000001</v>
      </c>
      <c r="AJ45" s="72">
        <f t="shared" si="3"/>
        <v>0.2563333333333333</v>
      </c>
    </row>
    <row r="46" spans="1:36" ht="15.7" x14ac:dyDescent="0.55000000000000004">
      <c r="A46" s="28">
        <v>2.4</v>
      </c>
      <c r="B46" s="28">
        <v>0.59</v>
      </c>
      <c r="C46" s="28">
        <v>1.08</v>
      </c>
      <c r="E46">
        <f t="shared" si="0"/>
        <v>-4.1493775933610921E-3</v>
      </c>
      <c r="G46">
        <f t="shared" si="1"/>
        <v>6.8259385665530026E-3</v>
      </c>
      <c r="I46">
        <f t="shared" si="2"/>
        <v>-4.4247787610619316E-2</v>
      </c>
      <c r="J46" s="64"/>
      <c r="K46" s="64"/>
      <c r="L46" s="64">
        <f>1-K45</f>
        <v>0.999</v>
      </c>
      <c r="M46" s="65" t="s">
        <v>91</v>
      </c>
      <c r="N46" s="64"/>
      <c r="O46" s="64"/>
      <c r="P46" s="64">
        <f>O45</f>
        <v>-516.68833804893802</v>
      </c>
      <c r="Q46" s="65" t="s">
        <v>90</v>
      </c>
      <c r="X46" s="56"/>
      <c r="Y46" s="60"/>
      <c r="Z46" s="60"/>
      <c r="AA46" s="60"/>
      <c r="AB46" s="56"/>
      <c r="AG46" s="71">
        <f t="shared" si="4"/>
        <v>1.1000000000000001</v>
      </c>
      <c r="AJ46" s="72">
        <f t="shared" si="3"/>
        <v>0.2566666666666666</v>
      </c>
    </row>
    <row r="47" spans="1:36" x14ac:dyDescent="0.5">
      <c r="A47" s="28">
        <v>2.41</v>
      </c>
      <c r="B47" s="28">
        <v>0.58599999999999997</v>
      </c>
      <c r="C47" s="28">
        <v>1.1299999999999999</v>
      </c>
      <c r="E47">
        <f t="shared" si="0"/>
        <v>-8.2304526748970819E-3</v>
      </c>
      <c r="G47">
        <f t="shared" si="1"/>
        <v>-6.7796610169491567E-3</v>
      </c>
      <c r="I47">
        <f t="shared" si="2"/>
        <v>-1.7391304347826098E-2</v>
      </c>
      <c r="X47" s="61"/>
      <c r="Y47" s="61"/>
      <c r="Z47" s="61"/>
      <c r="AA47" s="61"/>
      <c r="AB47" s="56"/>
      <c r="AG47" s="71">
        <f t="shared" si="4"/>
        <v>1.1000000000000001</v>
      </c>
      <c r="AJ47" s="72">
        <f t="shared" si="3"/>
        <v>0.27533333333333299</v>
      </c>
    </row>
    <row r="48" spans="1:36" ht="54.7" x14ac:dyDescent="0.7">
      <c r="A48" s="28">
        <v>2.4300000000000002</v>
      </c>
      <c r="B48" s="28">
        <v>0.59</v>
      </c>
      <c r="C48" s="28">
        <v>1.1499999999999999</v>
      </c>
      <c r="E48">
        <f t="shared" si="0"/>
        <v>4.7413793103448398E-2</v>
      </c>
      <c r="G48">
        <f t="shared" si="1"/>
        <v>-1.6666666666666718E-2</v>
      </c>
      <c r="I48">
        <f t="shared" si="2"/>
        <v>-8.6206896551723755E-3</v>
      </c>
      <c r="J48" s="70" t="s">
        <v>65</v>
      </c>
      <c r="K48" s="69"/>
      <c r="L48" s="45"/>
      <c r="M48" s="48">
        <v>0</v>
      </c>
      <c r="N48" s="44" t="s">
        <v>60</v>
      </c>
      <c r="O48" s="50">
        <f>1/2+1/2*ERF((-M48/Q9-L40)/SQRT(L41*2))</f>
        <v>1.609823385706477E-15</v>
      </c>
      <c r="P48" s="68" t="s">
        <v>93</v>
      </c>
      <c r="Q48" s="67">
        <f>M48</f>
        <v>0</v>
      </c>
      <c r="R48" s="66">
        <f>-SQRT(2*L41)*Q14*(-(1/2)*EXP(-(1/2)*(Q9*L40+M48)^2/(Q14^2*L41)))/(0.886226925452758-0.886226925452758*ERF((1/SQRT(2))*(Q9*L40+M48)/(Q14*SQRT(L41))))+Q9*L40</f>
        <v>1713.5024027216873</v>
      </c>
      <c r="X48" s="61"/>
      <c r="Y48" s="61"/>
      <c r="Z48" s="61"/>
      <c r="AA48" s="61"/>
      <c r="AB48" s="56"/>
      <c r="AG48" s="71">
        <f t="shared" si="4"/>
        <v>1.1000000000000001</v>
      </c>
      <c r="AJ48" s="72">
        <f t="shared" si="3"/>
        <v>0.28999999999999981</v>
      </c>
    </row>
    <row r="49" spans="1:36" x14ac:dyDescent="0.5">
      <c r="A49" s="28">
        <v>2.3199999999999998</v>
      </c>
      <c r="B49" s="28">
        <v>0.6</v>
      </c>
      <c r="C49" s="28">
        <v>1.1599999999999999</v>
      </c>
      <c r="E49">
        <f t="shared" si="0"/>
        <v>3.3407572383073347E-2</v>
      </c>
      <c r="G49">
        <f t="shared" si="1"/>
        <v>1.6949152542372836E-2</v>
      </c>
      <c r="I49">
        <f t="shared" si="2"/>
        <v>1.3100436681222627E-2</v>
      </c>
      <c r="X49" s="61"/>
      <c r="Y49" s="61"/>
      <c r="Z49" s="61"/>
      <c r="AA49" s="61"/>
      <c r="AB49" s="56"/>
      <c r="AG49" s="71">
        <f t="shared" si="4"/>
        <v>1.1000000000000001</v>
      </c>
      <c r="AJ49" s="72">
        <f t="shared" si="3"/>
        <v>0.26</v>
      </c>
    </row>
    <row r="50" spans="1:36" x14ac:dyDescent="0.5">
      <c r="A50" s="28">
        <v>2.2450000000000001</v>
      </c>
      <c r="B50" s="28">
        <v>0.59</v>
      </c>
      <c r="C50" s="28">
        <v>1.145</v>
      </c>
      <c r="E50">
        <f t="shared" si="0"/>
        <v>-2.0506108202443141E-2</v>
      </c>
      <c r="G50">
        <f t="shared" si="1"/>
        <v>1.3745704467353903E-2</v>
      </c>
      <c r="I50">
        <f t="shared" si="2"/>
        <v>-2.4701873935264018E-2</v>
      </c>
      <c r="X50" s="61"/>
      <c r="Y50" s="61" t="s">
        <v>84</v>
      </c>
      <c r="Z50" s="61">
        <f>Y12</f>
        <v>5.5555555555555558E-3</v>
      </c>
      <c r="AA50" s="61"/>
      <c r="AB50" s="56"/>
      <c r="AG50" s="71">
        <f t="shared" si="4"/>
        <v>1.1000000000000001</v>
      </c>
      <c r="AJ50" s="72">
        <f t="shared" si="3"/>
        <v>0.22666666666666657</v>
      </c>
    </row>
    <row r="51" spans="1:36" x14ac:dyDescent="0.5">
      <c r="A51" s="28">
        <v>2.2919999999999998</v>
      </c>
      <c r="B51" s="28">
        <v>0.58199999999999996</v>
      </c>
      <c r="C51" s="28">
        <v>1.1739999999999999</v>
      </c>
      <c r="E51">
        <f t="shared" si="0"/>
        <v>3.9421813403415218E-3</v>
      </c>
      <c r="G51">
        <f t="shared" si="1"/>
        <v>-6.1290322580645262E-2</v>
      </c>
      <c r="I51">
        <f t="shared" si="2"/>
        <v>-6.0800000000000076E-2</v>
      </c>
      <c r="X51" s="61"/>
      <c r="Y51" s="61" t="s">
        <v>46</v>
      </c>
      <c r="Z51" s="61">
        <f>LN(L36)/(SQRT(Y14))</f>
        <v>0.21114785297140687</v>
      </c>
      <c r="AA51" s="61"/>
      <c r="AB51" s="56"/>
      <c r="AG51" s="71">
        <f t="shared" si="4"/>
        <v>1.1000000000000001</v>
      </c>
      <c r="AJ51" s="72">
        <f t="shared" si="3"/>
        <v>0.24933333333333318</v>
      </c>
    </row>
    <row r="52" spans="1:36" x14ac:dyDescent="0.5">
      <c r="A52" s="28">
        <v>2.2829999999999999</v>
      </c>
      <c r="B52" s="28">
        <v>0.62</v>
      </c>
      <c r="C52" s="28">
        <v>1.25</v>
      </c>
      <c r="E52">
        <f t="shared" si="0"/>
        <v>0</v>
      </c>
      <c r="G52">
        <f t="shared" si="1"/>
        <v>1.9736842105263275E-2</v>
      </c>
      <c r="I52">
        <f t="shared" si="2"/>
        <v>4.8231511254019921E-3</v>
      </c>
      <c r="X52" s="61"/>
      <c r="Y52" s="61" t="s">
        <v>83</v>
      </c>
      <c r="Z52" s="61">
        <f>(LN(Y17/Z23)-Y13*Y12)/(Z51*SQRT(Y12))+1/2*Z51*SQRT(Y12)</f>
        <v>-115.58860952482169</v>
      </c>
      <c r="AA52" s="61"/>
      <c r="AB52" s="56"/>
      <c r="AG52" s="71">
        <f t="shared" si="4"/>
        <v>1.1000000000000001</v>
      </c>
      <c r="AJ52" s="72">
        <f t="shared" si="3"/>
        <v>0.28433333333333333</v>
      </c>
    </row>
    <row r="53" spans="1:36" x14ac:dyDescent="0.5">
      <c r="A53" s="28">
        <v>2.2829999999999999</v>
      </c>
      <c r="B53" s="28">
        <v>0.60799999999999998</v>
      </c>
      <c r="C53" s="28">
        <v>1.244</v>
      </c>
      <c r="E53">
        <f t="shared" si="0"/>
        <v>-3.9267015706805353E-3</v>
      </c>
      <c r="G53">
        <f t="shared" si="1"/>
        <v>-3.4920634920634908E-2</v>
      </c>
      <c r="I53">
        <f t="shared" si="2"/>
        <v>-4.8000000000000265E-3</v>
      </c>
      <c r="L53" s="46"/>
      <c r="X53" s="61"/>
      <c r="Y53" s="61" t="s">
        <v>75</v>
      </c>
      <c r="Z53" s="61">
        <f>Z23*(1/2+1/2*ERF((-Z52+Z51*SQRT(Z50))/SQRT(2)))-Y17*EXP(-Y13*Z50)*(1/2+1/2*ERF(-Z52/SQRT(2)))</f>
        <v>1.9103082048967903</v>
      </c>
      <c r="AA53" s="61"/>
      <c r="AB53" s="56"/>
      <c r="AG53" s="71">
        <f t="shared" si="4"/>
        <v>1.1000000000000001</v>
      </c>
      <c r="AJ53" s="72">
        <f t="shared" si="3"/>
        <v>0.2783333333333331</v>
      </c>
    </row>
    <row r="54" spans="1:36" x14ac:dyDescent="0.5">
      <c r="A54" s="28">
        <v>2.2919999999999998</v>
      </c>
      <c r="B54" s="28">
        <v>0.63</v>
      </c>
      <c r="C54" s="28">
        <v>1.25</v>
      </c>
      <c r="E54">
        <f t="shared" si="0"/>
        <v>-3.9113428943938766E-3</v>
      </c>
      <c r="G54">
        <f t="shared" si="1"/>
        <v>-2.1739130434782594E-2</v>
      </c>
      <c r="I54">
        <f t="shared" si="2"/>
        <v>7.2522159548749077E-3</v>
      </c>
      <c r="X54" s="56"/>
      <c r="Y54" s="61" t="s">
        <v>76</v>
      </c>
      <c r="Z54" s="56">
        <f>Z53-Z23+Y17*EXP(-Y13*Y12)</f>
        <v>0</v>
      </c>
      <c r="AA54" s="56"/>
      <c r="AB54" s="56"/>
      <c r="AG54" s="71">
        <f t="shared" si="4"/>
        <v>1.1000000000000001</v>
      </c>
      <c r="AJ54" s="72">
        <f t="shared" si="3"/>
        <v>0.29066666666666641</v>
      </c>
    </row>
    <row r="55" spans="1:36" x14ac:dyDescent="0.5">
      <c r="A55" s="28">
        <v>2.3010000000000002</v>
      </c>
      <c r="B55" s="28">
        <v>0.64400000000000002</v>
      </c>
      <c r="C55" s="28">
        <v>1.2410000000000001</v>
      </c>
      <c r="E55">
        <f t="shared" si="0"/>
        <v>-8.1896551724136568E-3</v>
      </c>
      <c r="G55">
        <f t="shared" si="1"/>
        <v>-9.2307692307692646E-3</v>
      </c>
      <c r="I55">
        <f t="shared" si="2"/>
        <v>-4.5384615384615357E-2</v>
      </c>
      <c r="AG55" s="71">
        <f t="shared" si="4"/>
        <v>1.1000000000000001</v>
      </c>
      <c r="AJ55" s="72">
        <f t="shared" si="3"/>
        <v>0.29533333333333323</v>
      </c>
    </row>
    <row r="56" spans="1:36" x14ac:dyDescent="0.5">
      <c r="A56" s="28">
        <v>2.3199999999999998</v>
      </c>
      <c r="B56" s="28">
        <v>0.65</v>
      </c>
      <c r="C56" s="28">
        <v>1.3</v>
      </c>
      <c r="E56">
        <f t="shared" si="0"/>
        <v>3.8944180008653184E-3</v>
      </c>
      <c r="G56">
        <f t="shared" si="1"/>
        <v>-2.4024024024024038E-2</v>
      </c>
      <c r="I56">
        <f t="shared" si="2"/>
        <v>1.8010963194988294E-2</v>
      </c>
      <c r="AG56" s="71">
        <f t="shared" si="4"/>
        <v>1.1000000000000001</v>
      </c>
      <c r="AJ56" s="72">
        <f t="shared" si="3"/>
        <v>0.32333333333333303</v>
      </c>
    </row>
    <row r="57" spans="1:36" x14ac:dyDescent="0.5">
      <c r="A57" s="28">
        <v>2.3109999999999999</v>
      </c>
      <c r="B57" s="28">
        <v>0.66600000000000004</v>
      </c>
      <c r="C57" s="28">
        <v>1.2769999999999999</v>
      </c>
      <c r="E57">
        <f t="shared" si="0"/>
        <v>-3.8793103448275801E-3</v>
      </c>
      <c r="G57">
        <f t="shared" si="1"/>
        <v>9.0909090909090384E-3</v>
      </c>
      <c r="I57">
        <f t="shared" si="2"/>
        <v>2.1599999999999842E-2</v>
      </c>
      <c r="AG57" s="71">
        <f t="shared" si="4"/>
        <v>1.1000000000000001</v>
      </c>
      <c r="AJ57" s="72">
        <f t="shared" si="3"/>
        <v>0.31799999999999984</v>
      </c>
    </row>
    <row r="58" spans="1:36" x14ac:dyDescent="0.5">
      <c r="A58" s="28">
        <v>2.3199999999999998</v>
      </c>
      <c r="B58" s="28">
        <v>0.66</v>
      </c>
      <c r="C58" s="28">
        <v>1.25</v>
      </c>
      <c r="E58">
        <f t="shared" si="0"/>
        <v>1.221640488656206E-2</v>
      </c>
      <c r="G58">
        <f t="shared" si="1"/>
        <v>6.1093247588424493E-2</v>
      </c>
      <c r="I58">
        <f t="shared" si="2"/>
        <v>1.6260162601626105E-2</v>
      </c>
      <c r="AG58" s="71">
        <f t="shared" si="4"/>
        <v>1.1000000000000001</v>
      </c>
      <c r="AJ58" s="72">
        <f t="shared" si="3"/>
        <v>0.31000000000000005</v>
      </c>
    </row>
    <row r="59" spans="1:36" x14ac:dyDescent="0.5">
      <c r="A59" s="28">
        <v>2.2919999999999998</v>
      </c>
      <c r="B59" s="28">
        <v>0.622</v>
      </c>
      <c r="C59" s="28">
        <v>1.23</v>
      </c>
      <c r="E59">
        <f t="shared" si="0"/>
        <v>2.5044722719141044E-2</v>
      </c>
      <c r="G59">
        <f t="shared" si="1"/>
        <v>0.13919413919413914</v>
      </c>
      <c r="I59">
        <f t="shared" si="2"/>
        <v>0.15060804490177748</v>
      </c>
      <c r="AG59" s="71">
        <f t="shared" si="4"/>
        <v>1.1000000000000001</v>
      </c>
      <c r="AJ59" s="72">
        <f t="shared" si="3"/>
        <v>0.28133333333333321</v>
      </c>
    </row>
    <row r="60" spans="1:36" x14ac:dyDescent="0.5">
      <c r="A60" s="28">
        <v>2.2360000000000002</v>
      </c>
      <c r="B60" s="28">
        <v>0.54600000000000004</v>
      </c>
      <c r="C60" s="28">
        <v>1.069</v>
      </c>
      <c r="E60">
        <f t="shared" si="0"/>
        <v>-1.6278046634403798E-2</v>
      </c>
      <c r="G60">
        <f t="shared" si="1"/>
        <v>1.1111111111111072E-2</v>
      </c>
      <c r="I60">
        <f t="shared" si="2"/>
        <v>-1.5653775322283736E-2</v>
      </c>
      <c r="AG60" s="71">
        <f t="shared" si="4"/>
        <v>1.1000000000000001</v>
      </c>
      <c r="AJ60" s="72">
        <f t="shared" si="3"/>
        <v>0.18366666666666664</v>
      </c>
    </row>
    <row r="61" spans="1:36" x14ac:dyDescent="0.5">
      <c r="A61" s="28">
        <v>2.2730000000000001</v>
      </c>
      <c r="B61" s="28">
        <v>0.54</v>
      </c>
      <c r="C61" s="28">
        <v>1.0860000000000001</v>
      </c>
      <c r="E61">
        <f t="shared" si="0"/>
        <v>1.6547406082289662E-2</v>
      </c>
      <c r="G61">
        <f t="shared" si="1"/>
        <v>0</v>
      </c>
      <c r="I61">
        <f t="shared" si="2"/>
        <v>2.7700831024932704E-3</v>
      </c>
      <c r="AG61" s="71">
        <f t="shared" si="4"/>
        <v>1.1000000000000001</v>
      </c>
      <c r="AJ61" s="72">
        <f t="shared" si="3"/>
        <v>0.19966666666666666</v>
      </c>
    </row>
    <row r="62" spans="1:36" x14ac:dyDescent="0.5">
      <c r="A62" s="28">
        <v>2.2360000000000002</v>
      </c>
      <c r="B62" s="28">
        <v>0.54</v>
      </c>
      <c r="C62" s="28">
        <v>1.083</v>
      </c>
      <c r="E62">
        <f t="shared" si="0"/>
        <v>-2.4432809773123787E-2</v>
      </c>
      <c r="G62">
        <f t="shared" si="1"/>
        <v>-5.2631578947368252E-2</v>
      </c>
      <c r="I62">
        <f t="shared" si="2"/>
        <v>-9.5238095238095344E-2</v>
      </c>
      <c r="AG62" s="71">
        <f t="shared" si="4"/>
        <v>1.1000000000000001</v>
      </c>
      <c r="AJ62" s="72">
        <f t="shared" si="3"/>
        <v>0.18633333333333324</v>
      </c>
    </row>
    <row r="63" spans="1:36" x14ac:dyDescent="0.5">
      <c r="A63" s="28">
        <v>2.2919999999999998</v>
      </c>
      <c r="B63" s="28">
        <v>0.56999999999999995</v>
      </c>
      <c r="C63" s="28">
        <v>1.1970000000000001</v>
      </c>
      <c r="E63">
        <f t="shared" si="0"/>
        <v>0</v>
      </c>
      <c r="G63">
        <f t="shared" si="1"/>
        <v>-4.0404040404040442E-2</v>
      </c>
      <c r="I63">
        <f t="shared" si="2"/>
        <v>1.7857142857143016E-2</v>
      </c>
      <c r="AG63" s="71">
        <f t="shared" si="4"/>
        <v>1.1000000000000001</v>
      </c>
      <c r="AJ63" s="72">
        <f t="shared" si="3"/>
        <v>0.25299999999999967</v>
      </c>
    </row>
    <row r="64" spans="1:36" x14ac:dyDescent="0.5">
      <c r="A64" s="28">
        <v>2.2919999999999998</v>
      </c>
      <c r="B64" s="28">
        <v>0.59399999999999997</v>
      </c>
      <c r="C64" s="28">
        <v>1.1759999999999999</v>
      </c>
      <c r="E64">
        <f t="shared" si="0"/>
        <v>8.3589969203694547E-3</v>
      </c>
      <c r="G64">
        <f t="shared" si="1"/>
        <v>3.4843205574912828E-2</v>
      </c>
      <c r="I64">
        <f t="shared" si="2"/>
        <v>-3.2098765432098886E-2</v>
      </c>
      <c r="AG64" s="71">
        <f t="shared" si="4"/>
        <v>1.1000000000000001</v>
      </c>
      <c r="AJ64" s="72">
        <f t="shared" si="3"/>
        <v>0.25399999999999978</v>
      </c>
    </row>
    <row r="65" spans="1:36" x14ac:dyDescent="0.5">
      <c r="A65" s="28">
        <v>2.2730000000000001</v>
      </c>
      <c r="B65" s="28">
        <v>0.57399999999999995</v>
      </c>
      <c r="C65" s="28">
        <v>1.2150000000000001</v>
      </c>
      <c r="E65">
        <f t="shared" si="0"/>
        <v>1.247216035634735E-2</v>
      </c>
      <c r="G65">
        <f t="shared" si="1"/>
        <v>-1.0344827586206917E-2</v>
      </c>
      <c r="I65">
        <f t="shared" si="2"/>
        <v>-5.078125E-2</v>
      </c>
      <c r="AG65" s="71">
        <f t="shared" si="4"/>
        <v>1.1000000000000001</v>
      </c>
      <c r="AJ65" s="72">
        <f t="shared" si="3"/>
        <v>0.254</v>
      </c>
    </row>
    <row r="66" spans="1:36" x14ac:dyDescent="0.5">
      <c r="A66" s="28">
        <v>2.2450000000000001</v>
      </c>
      <c r="B66" s="28">
        <v>0.57999999999999996</v>
      </c>
      <c r="C66" s="28">
        <v>1.28</v>
      </c>
      <c r="E66">
        <f t="shared" si="0"/>
        <v>1.675724637681153E-2</v>
      </c>
      <c r="G66">
        <f t="shared" si="1"/>
        <v>0</v>
      </c>
      <c r="I66">
        <f t="shared" si="2"/>
        <v>5.498821681068522E-3</v>
      </c>
      <c r="AG66" s="71">
        <f t="shared" si="4"/>
        <v>1.1000000000000001</v>
      </c>
      <c r="AJ66" s="72">
        <f t="shared" si="3"/>
        <v>0.26833333333333331</v>
      </c>
    </row>
    <row r="67" spans="1:36" x14ac:dyDescent="0.5">
      <c r="A67" s="28">
        <v>2.2080000000000002</v>
      </c>
      <c r="B67" s="28">
        <v>0.57999999999999996</v>
      </c>
      <c r="C67" s="28">
        <v>1.2729999999999999</v>
      </c>
      <c r="E67">
        <f t="shared" ref="E67:E90" si="5">(A67/A68)-1</f>
        <v>-4.0595399188091408E-3</v>
      </c>
      <c r="G67">
        <f t="shared" ref="G67:G90" si="6">(B67/B68)-1</f>
        <v>1.7543859649122862E-2</v>
      </c>
      <c r="I67">
        <f t="shared" ref="I67:I90" si="7">(C67/C68)-1</f>
        <v>4.3442622950819576E-2</v>
      </c>
      <c r="AG67" s="71">
        <f t="shared" si="4"/>
        <v>1.1000000000000001</v>
      </c>
      <c r="AJ67" s="72">
        <f t="shared" ref="AJ67:AJ91" si="8">MAX((A67+B67+C67)/3-AG67,0)</f>
        <v>0.25366666666666648</v>
      </c>
    </row>
    <row r="68" spans="1:36" x14ac:dyDescent="0.5">
      <c r="A68" s="28">
        <v>2.2170000000000001</v>
      </c>
      <c r="B68" s="28">
        <v>0.56999999999999995</v>
      </c>
      <c r="C68" s="28">
        <v>1.22</v>
      </c>
      <c r="E68">
        <f t="shared" si="5"/>
        <v>-2.4637043554773475E-2</v>
      </c>
      <c r="G68">
        <f t="shared" si="6"/>
        <v>-1.384083044982698E-2</v>
      </c>
      <c r="I68">
        <f t="shared" si="7"/>
        <v>2.006688963210701E-2</v>
      </c>
      <c r="AG68" s="71">
        <f t="shared" ref="AG68:AG91" si="9">AG67</f>
        <v>1.1000000000000001</v>
      </c>
      <c r="AJ68" s="72">
        <f t="shared" si="8"/>
        <v>0.23566666666666647</v>
      </c>
    </row>
    <row r="69" spans="1:36" x14ac:dyDescent="0.5">
      <c r="A69" s="28">
        <v>2.2730000000000001</v>
      </c>
      <c r="B69" s="28">
        <v>0.57799999999999996</v>
      </c>
      <c r="C69" s="28">
        <v>1.196</v>
      </c>
      <c r="E69">
        <f t="shared" si="5"/>
        <v>-4.3802014892684316E-3</v>
      </c>
      <c r="G69">
        <f t="shared" si="6"/>
        <v>3.4722222222223209E-3</v>
      </c>
      <c r="I69">
        <f t="shared" si="7"/>
        <v>-8.3524904214559381E-2</v>
      </c>
      <c r="AG69" s="71">
        <f t="shared" si="9"/>
        <v>1.1000000000000001</v>
      </c>
      <c r="AJ69" s="72">
        <f t="shared" si="8"/>
        <v>0.24899999999999989</v>
      </c>
    </row>
    <row r="70" spans="1:36" x14ac:dyDescent="0.5">
      <c r="A70" s="28">
        <v>2.2829999999999999</v>
      </c>
      <c r="B70" s="28">
        <v>0.57599999999999996</v>
      </c>
      <c r="C70" s="28">
        <v>1.3049999999999999</v>
      </c>
      <c r="E70">
        <f t="shared" si="5"/>
        <v>4.3994720633522277E-3</v>
      </c>
      <c r="G70">
        <f t="shared" si="6"/>
        <v>0</v>
      </c>
      <c r="I70">
        <f t="shared" si="7"/>
        <v>2.2727272727272707E-2</v>
      </c>
      <c r="Z70" s="73" t="s">
        <v>97</v>
      </c>
      <c r="AA70" s="73"/>
      <c r="AB70" s="73"/>
      <c r="AC70" s="73"/>
      <c r="AD70" s="73"/>
      <c r="AE70" s="73"/>
      <c r="AF70" s="73"/>
      <c r="AG70" s="71">
        <f t="shared" si="9"/>
        <v>1.1000000000000001</v>
      </c>
      <c r="AJ70" s="72">
        <f t="shared" si="8"/>
        <v>0.28799999999999981</v>
      </c>
    </row>
    <row r="71" spans="1:36" x14ac:dyDescent="0.5">
      <c r="A71" s="28">
        <v>2.2730000000000001</v>
      </c>
      <c r="B71" s="28">
        <v>0.57599999999999996</v>
      </c>
      <c r="C71" s="28">
        <v>1.276</v>
      </c>
      <c r="E71">
        <f t="shared" si="5"/>
        <v>-8.2897033158811917E-3</v>
      </c>
      <c r="G71">
        <f t="shared" si="6"/>
        <v>2.857142857142847E-2</v>
      </c>
      <c r="I71">
        <f t="shared" si="7"/>
        <v>1.5115354017502192E-2</v>
      </c>
      <c r="Z71" s="73" t="s">
        <v>98</v>
      </c>
      <c r="AA71" s="73"/>
      <c r="AB71" s="73"/>
      <c r="AC71" s="73"/>
      <c r="AD71" s="73">
        <f>AH2</f>
        <v>0.17848689138576773</v>
      </c>
      <c r="AE71" s="73"/>
      <c r="AF71" s="73"/>
      <c r="AG71" s="71">
        <f t="shared" si="9"/>
        <v>1.1000000000000001</v>
      </c>
      <c r="AJ71" s="72">
        <f t="shared" si="8"/>
        <v>0.27499999999999991</v>
      </c>
    </row>
    <row r="72" spans="1:36" x14ac:dyDescent="0.5">
      <c r="A72" s="28">
        <v>2.2919999999999998</v>
      </c>
      <c r="B72" s="28">
        <v>0.56000000000000005</v>
      </c>
      <c r="C72" s="28">
        <v>1.2569999999999999</v>
      </c>
      <c r="E72">
        <f t="shared" si="5"/>
        <v>8.3589969203694547E-3</v>
      </c>
      <c r="G72">
        <f t="shared" si="6"/>
        <v>-1.754385964912264E-2</v>
      </c>
      <c r="I72">
        <f t="shared" si="7"/>
        <v>2.1951219512195141E-2</v>
      </c>
      <c r="Z72" s="73" t="s">
        <v>99</v>
      </c>
      <c r="AA72" s="73"/>
      <c r="AB72" s="73"/>
      <c r="AC72" s="73"/>
      <c r="AD72" s="73">
        <f>AI2</f>
        <v>6.2008765447684779E-3</v>
      </c>
      <c r="AE72" s="73"/>
      <c r="AF72" s="73"/>
      <c r="AG72" s="71">
        <f t="shared" si="9"/>
        <v>1.1000000000000001</v>
      </c>
      <c r="AJ72" s="72">
        <f t="shared" si="8"/>
        <v>0.2696666666666665</v>
      </c>
    </row>
    <row r="73" spans="1:36" x14ac:dyDescent="0.5">
      <c r="A73" s="28">
        <v>2.2730000000000001</v>
      </c>
      <c r="B73" s="28">
        <v>0.56999999999999995</v>
      </c>
      <c r="C73" s="28">
        <v>1.23</v>
      </c>
      <c r="E73">
        <f t="shared" si="5"/>
        <v>-4.3802014892684316E-3</v>
      </c>
      <c r="G73">
        <f t="shared" si="6"/>
        <v>-1.7241379310344862E-2</v>
      </c>
      <c r="I73">
        <f t="shared" si="7"/>
        <v>3.9729501267962819E-2</v>
      </c>
      <c r="AG73" s="71">
        <f t="shared" si="9"/>
        <v>1.1000000000000001</v>
      </c>
      <c r="AJ73" s="72">
        <f t="shared" si="8"/>
        <v>0.25766666666666671</v>
      </c>
    </row>
    <row r="74" spans="1:36" x14ac:dyDescent="0.5">
      <c r="A74" s="28">
        <v>2.2829999999999999</v>
      </c>
      <c r="B74" s="28">
        <v>0.57999999999999996</v>
      </c>
      <c r="C74" s="28">
        <v>1.1830000000000001</v>
      </c>
      <c r="E74">
        <f t="shared" si="5"/>
        <v>4.3994720633522277E-3</v>
      </c>
      <c r="G74">
        <f t="shared" si="6"/>
        <v>1.0452961672473782E-2</v>
      </c>
      <c r="I74">
        <f t="shared" si="7"/>
        <v>0</v>
      </c>
      <c r="AG74" s="71">
        <f t="shared" si="9"/>
        <v>1.1000000000000001</v>
      </c>
      <c r="AJ74" s="72">
        <f t="shared" si="8"/>
        <v>0.24866666666666659</v>
      </c>
    </row>
    <row r="75" spans="1:36" x14ac:dyDescent="0.5">
      <c r="A75" s="28">
        <v>2.2730000000000001</v>
      </c>
      <c r="B75" s="28">
        <v>0.57399999999999995</v>
      </c>
      <c r="C75" s="28">
        <v>1.1830000000000001</v>
      </c>
      <c r="E75">
        <f t="shared" si="5"/>
        <v>-8.2897033158811917E-3</v>
      </c>
      <c r="G75">
        <f t="shared" si="6"/>
        <v>7.0175438596491446E-3</v>
      </c>
      <c r="I75">
        <f t="shared" si="7"/>
        <v>-1.416666666666655E-2</v>
      </c>
      <c r="AG75" s="71">
        <f t="shared" si="9"/>
        <v>1.1000000000000001</v>
      </c>
      <c r="AJ75" s="72">
        <f t="shared" si="8"/>
        <v>0.2433333333333334</v>
      </c>
    </row>
    <row r="76" spans="1:36" x14ac:dyDescent="0.5">
      <c r="A76" s="28">
        <v>2.2919999999999998</v>
      </c>
      <c r="B76" s="28">
        <v>0.56999999999999995</v>
      </c>
      <c r="C76" s="28">
        <v>1.2</v>
      </c>
      <c r="E76">
        <f t="shared" si="5"/>
        <v>-3.9113428943938766E-3</v>
      </c>
      <c r="G76">
        <f t="shared" si="6"/>
        <v>1.7857142857142572E-2</v>
      </c>
      <c r="I76">
        <f t="shared" si="7"/>
        <v>7.1428571428571397E-2</v>
      </c>
      <c r="AG76" s="71">
        <f t="shared" si="9"/>
        <v>1.1000000000000001</v>
      </c>
      <c r="AJ76" s="72">
        <f t="shared" si="8"/>
        <v>0.25399999999999978</v>
      </c>
    </row>
    <row r="77" spans="1:36" x14ac:dyDescent="0.5">
      <c r="A77" s="28">
        <v>2.3010000000000002</v>
      </c>
      <c r="B77" s="28">
        <v>0.56000000000000005</v>
      </c>
      <c r="C77" s="28">
        <v>1.1200000000000001</v>
      </c>
      <c r="E77">
        <f t="shared" si="5"/>
        <v>-2.375901569792116E-2</v>
      </c>
      <c r="G77">
        <f t="shared" si="6"/>
        <v>-3.558718861209953E-3</v>
      </c>
      <c r="I77">
        <f t="shared" si="7"/>
        <v>9.009009009008917E-3</v>
      </c>
      <c r="AG77" s="71">
        <f t="shared" si="9"/>
        <v>1.1000000000000001</v>
      </c>
      <c r="AJ77" s="72">
        <f t="shared" si="8"/>
        <v>0.22700000000000009</v>
      </c>
    </row>
    <row r="78" spans="1:36" x14ac:dyDescent="0.5">
      <c r="A78" s="28">
        <v>2.3570000000000002</v>
      </c>
      <c r="B78" s="28">
        <v>0.56200000000000006</v>
      </c>
      <c r="C78" s="28">
        <v>1.1100000000000001</v>
      </c>
      <c r="E78">
        <f t="shared" si="5"/>
        <v>0</v>
      </c>
      <c r="G78">
        <f t="shared" si="6"/>
        <v>7.1684587813620748E-3</v>
      </c>
      <c r="I78">
        <f t="shared" si="7"/>
        <v>1.0928961748633892E-2</v>
      </c>
      <c r="AG78" s="71">
        <f t="shared" si="9"/>
        <v>1.1000000000000001</v>
      </c>
      <c r="AJ78" s="72">
        <f t="shared" si="8"/>
        <v>0.2430000000000001</v>
      </c>
    </row>
    <row r="79" spans="1:36" x14ac:dyDescent="0.5">
      <c r="A79" s="28">
        <v>2.3570000000000002</v>
      </c>
      <c r="B79" s="28">
        <v>0.55800000000000005</v>
      </c>
      <c r="C79" s="28">
        <v>1.0980000000000001</v>
      </c>
      <c r="E79">
        <f t="shared" si="5"/>
        <v>0</v>
      </c>
      <c r="G79">
        <f t="shared" si="6"/>
        <v>-3.5714285714285587E-3</v>
      </c>
      <c r="I79">
        <f t="shared" si="7"/>
        <v>7.647058823529429E-2</v>
      </c>
      <c r="AG79" s="71">
        <f t="shared" si="9"/>
        <v>1.1000000000000001</v>
      </c>
      <c r="AJ79" s="72">
        <f t="shared" si="8"/>
        <v>0.23766666666666647</v>
      </c>
    </row>
    <row r="80" spans="1:36" x14ac:dyDescent="0.5">
      <c r="A80" s="28">
        <v>2.3570000000000002</v>
      </c>
      <c r="B80" s="28">
        <v>0.56000000000000005</v>
      </c>
      <c r="C80" s="28">
        <v>1.02</v>
      </c>
      <c r="E80">
        <f t="shared" si="5"/>
        <v>3.8330494037479568E-3</v>
      </c>
      <c r="G80">
        <f t="shared" si="6"/>
        <v>1.8181818181818299E-2</v>
      </c>
      <c r="I80">
        <f t="shared" si="7"/>
        <v>-4.6728971962616828E-2</v>
      </c>
      <c r="AG80" s="71">
        <f t="shared" si="9"/>
        <v>1.1000000000000001</v>
      </c>
      <c r="AJ80" s="72">
        <f t="shared" si="8"/>
        <v>0.21233333333333326</v>
      </c>
    </row>
    <row r="81" spans="1:40" x14ac:dyDescent="0.5">
      <c r="A81" s="28">
        <v>2.3479999999999999</v>
      </c>
      <c r="B81" s="28">
        <v>0.55000000000000004</v>
      </c>
      <c r="C81" s="28">
        <v>1.07</v>
      </c>
      <c r="E81">
        <f t="shared" si="5"/>
        <v>5.0089445438282532E-2</v>
      </c>
      <c r="G81">
        <f t="shared" si="6"/>
        <v>-7.2202166064981865E-3</v>
      </c>
      <c r="I81">
        <f t="shared" si="7"/>
        <v>-9.2592592592593004E-3</v>
      </c>
      <c r="AG81" s="71">
        <f t="shared" si="9"/>
        <v>1.1000000000000001</v>
      </c>
      <c r="AJ81" s="72">
        <f t="shared" si="8"/>
        <v>0.22266666666666657</v>
      </c>
    </row>
    <row r="82" spans="1:40" x14ac:dyDescent="0.5">
      <c r="A82" s="28">
        <v>2.2360000000000002</v>
      </c>
      <c r="B82" s="28">
        <v>0.55400000000000005</v>
      </c>
      <c r="C82" s="28">
        <v>1.08</v>
      </c>
      <c r="E82">
        <f t="shared" si="5"/>
        <v>4.0413111809611824E-3</v>
      </c>
      <c r="G82">
        <f t="shared" si="6"/>
        <v>-2.4647887323943518E-2</v>
      </c>
      <c r="I82">
        <f t="shared" si="7"/>
        <v>3.8461538461538547E-2</v>
      </c>
      <c r="AG82" s="71">
        <f t="shared" si="9"/>
        <v>1.1000000000000001</v>
      </c>
      <c r="AJ82" s="72">
        <f t="shared" si="8"/>
        <v>0.18999999999999995</v>
      </c>
    </row>
    <row r="83" spans="1:40" x14ac:dyDescent="0.5">
      <c r="A83" s="28">
        <v>2.2269999999999999</v>
      </c>
      <c r="B83" s="28">
        <v>0.56799999999999995</v>
      </c>
      <c r="C83" s="28">
        <v>1.04</v>
      </c>
      <c r="E83">
        <f t="shared" si="5"/>
        <v>-4.025044722719251E-3</v>
      </c>
      <c r="G83">
        <f t="shared" si="6"/>
        <v>-1.0452961672473893E-2</v>
      </c>
      <c r="I83">
        <f t="shared" si="7"/>
        <v>4.0000000000000036E-2</v>
      </c>
      <c r="AG83" s="71">
        <f t="shared" si="9"/>
        <v>1.1000000000000001</v>
      </c>
      <c r="AJ83" s="72">
        <f t="shared" si="8"/>
        <v>0.17833333333333323</v>
      </c>
    </row>
    <row r="84" spans="1:40" x14ac:dyDescent="0.5">
      <c r="A84" s="28">
        <v>2.2360000000000002</v>
      </c>
      <c r="B84" s="28">
        <v>0.57399999999999995</v>
      </c>
      <c r="C84" s="28">
        <v>1</v>
      </c>
      <c r="E84">
        <f t="shared" si="5"/>
        <v>-3.6206896551723933E-2</v>
      </c>
      <c r="G84">
        <f t="shared" si="6"/>
        <v>7.0175438596491446E-3</v>
      </c>
      <c r="I84">
        <f t="shared" si="7"/>
        <v>2.9866117404737436E-2</v>
      </c>
      <c r="AG84" s="71">
        <f t="shared" si="9"/>
        <v>1.1000000000000001</v>
      </c>
      <c r="AJ84" s="72">
        <f t="shared" si="8"/>
        <v>0.16999999999999993</v>
      </c>
    </row>
    <row r="85" spans="1:40" x14ac:dyDescent="0.5">
      <c r="A85" s="28">
        <v>2.3199999999999998</v>
      </c>
      <c r="B85" s="28">
        <v>0.56999999999999995</v>
      </c>
      <c r="C85" s="28">
        <v>0.97099999999999997</v>
      </c>
      <c r="E85">
        <f t="shared" si="5"/>
        <v>2.0677518697756136E-2</v>
      </c>
      <c r="G85">
        <f t="shared" si="6"/>
        <v>6.7415730337078594E-2</v>
      </c>
      <c r="I85">
        <f t="shared" si="7"/>
        <v>0.11353211009174302</v>
      </c>
      <c r="AG85" s="71">
        <f t="shared" si="9"/>
        <v>1.1000000000000001</v>
      </c>
      <c r="AJ85" s="72">
        <f t="shared" si="8"/>
        <v>0.18699999999999983</v>
      </c>
    </row>
    <row r="86" spans="1:40" x14ac:dyDescent="0.5">
      <c r="A86" s="28">
        <v>2.2730000000000001</v>
      </c>
      <c r="B86" s="28">
        <v>0.53400000000000003</v>
      </c>
      <c r="C86" s="28">
        <v>0.872</v>
      </c>
      <c r="E86">
        <f t="shared" si="5"/>
        <v>-2.4044654358093664E-2</v>
      </c>
      <c r="G86">
        <f t="shared" si="6"/>
        <v>6.800000000000006E-2</v>
      </c>
      <c r="I86">
        <f t="shared" si="7"/>
        <v>5.3140096618357502E-2</v>
      </c>
      <c r="AG86" s="71">
        <f t="shared" si="9"/>
        <v>1.1000000000000001</v>
      </c>
      <c r="AJ86" s="72">
        <f t="shared" si="8"/>
        <v>0.12633333333333341</v>
      </c>
    </row>
    <row r="87" spans="1:40" x14ac:dyDescent="0.5">
      <c r="A87" s="28">
        <v>2.3290000000000002</v>
      </c>
      <c r="B87" s="28">
        <v>0.5</v>
      </c>
      <c r="C87" s="28">
        <v>0.82799999999999996</v>
      </c>
      <c r="E87">
        <f t="shared" si="5"/>
        <v>1.6143106457242817E-2</v>
      </c>
      <c r="G87">
        <f t="shared" si="6"/>
        <v>2.0408163265306145E-2</v>
      </c>
      <c r="I87">
        <f t="shared" si="7"/>
        <v>0.1744680851063829</v>
      </c>
      <c r="AG87" s="71">
        <f t="shared" si="9"/>
        <v>1.1000000000000001</v>
      </c>
      <c r="AJ87" s="72">
        <f t="shared" si="8"/>
        <v>0.11899999999999999</v>
      </c>
    </row>
    <row r="88" spans="1:40" x14ac:dyDescent="0.5">
      <c r="A88" s="28">
        <v>2.2919999999999998</v>
      </c>
      <c r="B88" s="28">
        <v>0.49</v>
      </c>
      <c r="C88" s="28">
        <v>0.70499999999999996</v>
      </c>
      <c r="E88">
        <f t="shared" si="5"/>
        <v>1.2367491166077826E-2</v>
      </c>
      <c r="G88">
        <f t="shared" si="6"/>
        <v>0</v>
      </c>
      <c r="I88">
        <f t="shared" si="7"/>
        <v>-3.4246575342465779E-2</v>
      </c>
      <c r="AG88" s="71">
        <f t="shared" si="9"/>
        <v>1.1000000000000001</v>
      </c>
      <c r="AJ88" s="72">
        <f t="shared" si="8"/>
        <v>6.2333333333333352E-2</v>
      </c>
    </row>
    <row r="89" spans="1:40" x14ac:dyDescent="0.5">
      <c r="A89" s="28">
        <v>2.2639999999999998</v>
      </c>
      <c r="B89" s="28">
        <v>0.49</v>
      </c>
      <c r="C89" s="28">
        <v>0.73</v>
      </c>
      <c r="E89">
        <f t="shared" si="5"/>
        <v>4.7663118926422943E-2</v>
      </c>
      <c r="G89">
        <f t="shared" si="6"/>
        <v>6.1601642710471527E-3</v>
      </c>
      <c r="I89">
        <f t="shared" si="7"/>
        <v>-2.5367156208277675E-2</v>
      </c>
      <c r="AG89" s="71">
        <f t="shared" si="9"/>
        <v>1.1000000000000001</v>
      </c>
      <c r="AJ89" s="72">
        <f t="shared" si="8"/>
        <v>6.1333333333333018E-2</v>
      </c>
    </row>
    <row r="90" spans="1:40" x14ac:dyDescent="0.5">
      <c r="A90" s="28">
        <v>2.161</v>
      </c>
      <c r="B90" s="28">
        <v>0.48699999999999999</v>
      </c>
      <c r="C90" s="28">
        <v>0.749</v>
      </c>
      <c r="E90">
        <f t="shared" si="5"/>
        <v>3.595397890699914E-2</v>
      </c>
      <c r="G90">
        <f t="shared" si="6"/>
        <v>1.4583333333333393E-2</v>
      </c>
      <c r="I90">
        <f t="shared" si="7"/>
        <v>-1.7060367454068248E-2</v>
      </c>
      <c r="AG90" s="71">
        <f t="shared" si="9"/>
        <v>1.1000000000000001</v>
      </c>
      <c r="AJ90" s="72">
        <f t="shared" si="8"/>
        <v>3.2333333333333325E-2</v>
      </c>
    </row>
    <row r="91" spans="1:40" x14ac:dyDescent="0.5">
      <c r="A91" s="28">
        <v>2.0859999999999999</v>
      </c>
      <c r="B91" s="28">
        <v>0.48</v>
      </c>
      <c r="C91" s="28">
        <v>0.76200000000000001</v>
      </c>
      <c r="AG91" s="71">
        <f t="shared" si="9"/>
        <v>1.1000000000000001</v>
      </c>
      <c r="AJ91" s="72">
        <f t="shared" si="8"/>
        <v>9.3333333333331936E-3</v>
      </c>
    </row>
    <row r="92" spans="1:40" x14ac:dyDescent="0.5">
      <c r="A92" s="27">
        <f>AVERAGE(A2:A91)</f>
        <v>2.272633333333332</v>
      </c>
      <c r="B92" s="27">
        <f>AVERAGE(B2:B91)</f>
        <v>0.58518888888888876</v>
      </c>
      <c r="C92" s="27">
        <f>AVERAGE(C2:C91)</f>
        <v>0.97200000000000031</v>
      </c>
    </row>
    <row r="93" spans="1:40" x14ac:dyDescent="0.5">
      <c r="A93">
        <f>_xlfn.COVARIANCE.P(A2:A91,A2:A91)</f>
        <v>2.9945655555555519E-3</v>
      </c>
      <c r="B93">
        <f>_xlfn.COVARIANCE.P(B2:B91,B2:B91)</f>
        <v>1.3343309876543215E-3</v>
      </c>
      <c r="C93">
        <f>_xlfn.COVARIANCE.P(C2:C91,C2:C91)</f>
        <v>4.2388488888888895E-2</v>
      </c>
    </row>
    <row r="96" spans="1:40" x14ac:dyDescent="0.5">
      <c r="AH96" s="42"/>
      <c r="AI96" s="42"/>
      <c r="AJ96" s="42"/>
      <c r="AK96" s="42"/>
      <c r="AL96" s="42"/>
      <c r="AM96" s="42"/>
      <c r="AN96" s="42"/>
    </row>
    <row r="97" spans="34:40" x14ac:dyDescent="0.5">
      <c r="AH97" s="42"/>
      <c r="AI97" s="42"/>
      <c r="AJ97" s="42"/>
      <c r="AK97" s="42"/>
      <c r="AL97" s="42"/>
      <c r="AM97" s="42"/>
      <c r="AN97" s="42"/>
    </row>
    <row r="98" spans="34:40" x14ac:dyDescent="0.5">
      <c r="AH98" s="42"/>
      <c r="AI98" s="42"/>
      <c r="AJ98" s="42"/>
      <c r="AK98" s="42"/>
      <c r="AL98" s="42"/>
      <c r="AM98" s="42"/>
      <c r="AN98" s="42"/>
    </row>
    <row r="99" spans="34:40" ht="18" x14ac:dyDescent="0.6">
      <c r="AH99" s="42"/>
      <c r="AI99" s="42"/>
      <c r="AJ99" s="42"/>
      <c r="AK99" s="42"/>
      <c r="AL99" s="75">
        <f>0.3</f>
        <v>0.3</v>
      </c>
      <c r="AM99" s="42"/>
      <c r="AN99" s="42"/>
    </row>
    <row r="100" spans="34:40" x14ac:dyDescent="0.5">
      <c r="AH100" s="42"/>
      <c r="AI100" s="42"/>
      <c r="AJ100" s="42"/>
      <c r="AK100" s="42"/>
      <c r="AL100" s="42"/>
      <c r="AM100" s="42"/>
      <c r="AN100" s="42"/>
    </row>
    <row r="101" spans="34:40" x14ac:dyDescent="0.5">
      <c r="AH101" s="42"/>
      <c r="AI101" s="42"/>
      <c r="AJ101" s="42"/>
      <c r="AK101" s="42"/>
      <c r="AL101" s="42"/>
      <c r="AM101" s="42"/>
      <c r="AN101" s="42"/>
    </row>
    <row r="102" spans="34:40" ht="18" x14ac:dyDescent="0.6">
      <c r="AH102" s="42"/>
      <c r="AI102" s="42"/>
      <c r="AJ102" s="42"/>
      <c r="AK102" s="42"/>
      <c r="AL102" s="75">
        <f>AD71+2*AD72*AL99</f>
        <v>0.18220741731262882</v>
      </c>
      <c r="AM102" s="76" t="s">
        <v>100</v>
      </c>
      <c r="AN102" s="42"/>
    </row>
    <row r="103" spans="34:40" x14ac:dyDescent="0.5">
      <c r="AH103" s="42"/>
      <c r="AI103" s="42"/>
      <c r="AJ103" s="42"/>
      <c r="AK103" s="42"/>
      <c r="AL103" s="42"/>
      <c r="AM103" s="42"/>
      <c r="AN103" s="42"/>
    </row>
    <row r="104" spans="34:40" x14ac:dyDescent="0.5">
      <c r="AH104" s="42"/>
      <c r="AI104" s="42"/>
      <c r="AJ104" s="42"/>
      <c r="AK104" s="42"/>
      <c r="AL104" s="42"/>
      <c r="AM104" s="42"/>
      <c r="AN104" s="42"/>
    </row>
    <row r="105" spans="34:40" x14ac:dyDescent="0.5">
      <c r="AH105" s="42"/>
      <c r="AI105" s="42"/>
      <c r="AJ105" s="42"/>
      <c r="AK105" s="42"/>
      <c r="AL105" s="42"/>
      <c r="AM105" s="42"/>
      <c r="AN105" s="42"/>
    </row>
  </sheetData>
  <hyperlinks>
    <hyperlink ref="S38" r:id="rId1" display="http://www.samos.aegean.gr/actuar/nick/VeltistopoiisiXartofilakiou.pdf" xr:uid="{1B6F65E0-F85E-4C4F-93C0-31D9E02BC13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3AFC8-8B07-49A4-B139-54145D8B96D2}">
  <dimension ref="A1:Q253"/>
  <sheetViews>
    <sheetView tabSelected="1" topLeftCell="A111" workbookViewId="0">
      <selection activeCell="I135" sqref="I135"/>
    </sheetView>
  </sheetViews>
  <sheetFormatPr defaultRowHeight="14.35" x14ac:dyDescent="0.5"/>
  <sheetData>
    <row r="1" spans="1:17" x14ac:dyDescent="0.5">
      <c r="A1" s="28">
        <v>0.42799999999999999</v>
      </c>
      <c r="B1">
        <f>MAX(C1-A1,0)</f>
        <v>0.42799999999999999</v>
      </c>
      <c r="C1">
        <f>2*A1</f>
        <v>0.85599999999999998</v>
      </c>
      <c r="D1">
        <f>B1-B30</f>
        <v>0.42799999999999999</v>
      </c>
      <c r="E1">
        <f>ABS(LN(A1/A2)*2*SQRT(3))</f>
        <v>0.77299193651512876</v>
      </c>
      <c r="N1">
        <f>(A1/A31)-1</f>
        <v>-0.49587750294464072</v>
      </c>
      <c r="O1">
        <f>1+AVERAGEIF(N1:N60,"&gt;=0")</f>
        <v>1.2717548617247485</v>
      </c>
      <c r="Q1" s="77">
        <v>3696</v>
      </c>
    </row>
    <row r="2" spans="1:17" x14ac:dyDescent="0.5">
      <c r="A2" s="28">
        <v>0.53500000000000003</v>
      </c>
      <c r="B2">
        <f t="shared" ref="B2:B4" si="0">MAX(C2-A2,0)</f>
        <v>0.32099999999999995</v>
      </c>
      <c r="C2">
        <f>C1</f>
        <v>0.85599999999999998</v>
      </c>
      <c r="D2">
        <f>B2-B31</f>
        <v>0.31399999999999995</v>
      </c>
      <c r="E2">
        <f t="shared" ref="E2:E65" si="1">ABS(LN(A2/A3)*2*SQRT(3))</f>
        <v>0.86121335382360253</v>
      </c>
      <c r="N2">
        <f t="shared" ref="N2:N60" si="2">(A2/A32)-1</f>
        <v>-0.36686390532544377</v>
      </c>
      <c r="O2">
        <f>1/O1</f>
        <v>0.78631505968359683</v>
      </c>
      <c r="Q2" s="77">
        <v>3694</v>
      </c>
    </row>
    <row r="3" spans="1:17" x14ac:dyDescent="0.5">
      <c r="A3" s="28">
        <v>0.68600000000000005</v>
      </c>
      <c r="B3">
        <f t="shared" si="0"/>
        <v>0.16999999999999993</v>
      </c>
      <c r="C3">
        <f t="shared" ref="C3:C66" si="3">C2</f>
        <v>0.85599999999999998</v>
      </c>
      <c r="D3">
        <f t="shared" ref="D3:D66" si="4">B3-B32</f>
        <v>0.15899999999999992</v>
      </c>
      <c r="E3">
        <f t="shared" si="1"/>
        <v>0.86271469171020787</v>
      </c>
      <c r="N3">
        <f t="shared" si="2"/>
        <v>-0.19859813084112143</v>
      </c>
      <c r="Q3" s="77">
        <v>3730</v>
      </c>
    </row>
    <row r="4" spans="1:17" x14ac:dyDescent="0.5">
      <c r="A4" s="28">
        <v>0.88</v>
      </c>
      <c r="B4">
        <f t="shared" si="0"/>
        <v>0</v>
      </c>
      <c r="C4">
        <f t="shared" si="3"/>
        <v>0.85599999999999998</v>
      </c>
      <c r="D4">
        <f t="shared" si="4"/>
        <v>0</v>
      </c>
      <c r="E4">
        <f t="shared" si="1"/>
        <v>0.22848510275876935</v>
      </c>
      <c r="N4">
        <f t="shared" si="2"/>
        <v>1.7341040462427681E-2</v>
      </c>
      <c r="Q4" s="77">
        <v>3650</v>
      </c>
    </row>
    <row r="5" spans="1:17" x14ac:dyDescent="0.5">
      <c r="A5" s="28">
        <v>0.94</v>
      </c>
      <c r="B5">
        <f t="shared" ref="B5:B65" si="5">MAX(C5-A5,0)</f>
        <v>0</v>
      </c>
      <c r="C5">
        <f t="shared" si="3"/>
        <v>0.85599999999999998</v>
      </c>
      <c r="D5">
        <f t="shared" si="4"/>
        <v>0</v>
      </c>
      <c r="E5">
        <f t="shared" si="1"/>
        <v>0.80538858052607509</v>
      </c>
      <c r="N5">
        <f t="shared" si="2"/>
        <v>5.6179775280898792E-2</v>
      </c>
      <c r="Q5" s="77">
        <v>3580</v>
      </c>
    </row>
    <row r="6" spans="1:17" x14ac:dyDescent="0.5">
      <c r="A6" s="28">
        <v>0.745</v>
      </c>
      <c r="B6">
        <f t="shared" si="5"/>
        <v>0.11099999999999999</v>
      </c>
      <c r="C6">
        <f t="shared" si="3"/>
        <v>0.85599999999999998</v>
      </c>
      <c r="D6">
        <f t="shared" si="4"/>
        <v>0.11099999999999999</v>
      </c>
      <c r="E6">
        <f t="shared" si="1"/>
        <v>1.3921391603604904E-2</v>
      </c>
      <c r="N6">
        <f t="shared" si="2"/>
        <v>-0.17222222222222228</v>
      </c>
      <c r="Q6" s="77">
        <v>3453</v>
      </c>
    </row>
    <row r="7" spans="1:17" x14ac:dyDescent="0.5">
      <c r="A7" s="28">
        <v>0.748</v>
      </c>
      <c r="B7">
        <f t="shared" si="5"/>
        <v>0.10799999999999998</v>
      </c>
      <c r="C7">
        <f t="shared" si="3"/>
        <v>0.85599999999999998</v>
      </c>
      <c r="D7">
        <f t="shared" si="4"/>
        <v>0.10799999999999998</v>
      </c>
      <c r="E7">
        <f t="shared" si="1"/>
        <v>8.4380124620813568E-2</v>
      </c>
      <c r="N7">
        <f t="shared" si="2"/>
        <v>-0.18695652173913047</v>
      </c>
      <c r="Q7" s="77">
        <v>3456</v>
      </c>
    </row>
    <row r="8" spans="1:17" x14ac:dyDescent="0.5">
      <c r="A8" s="28">
        <v>0.73</v>
      </c>
      <c r="B8">
        <f t="shared" si="5"/>
        <v>0.126</v>
      </c>
      <c r="C8">
        <f t="shared" si="3"/>
        <v>0.85599999999999998</v>
      </c>
      <c r="D8">
        <f t="shared" si="4"/>
        <v>0.126</v>
      </c>
      <c r="E8">
        <f t="shared" si="1"/>
        <v>0.13951287905163284</v>
      </c>
      <c r="N8">
        <f t="shared" si="2"/>
        <v>-0.1797752808988764</v>
      </c>
      <c r="Q8" s="77">
        <v>3510</v>
      </c>
    </row>
    <row r="9" spans="1:17" x14ac:dyDescent="0.5">
      <c r="A9" s="28">
        <v>0.76</v>
      </c>
      <c r="B9">
        <f t="shared" si="5"/>
        <v>9.5999999999999974E-2</v>
      </c>
      <c r="C9">
        <f t="shared" si="3"/>
        <v>0.85599999999999998</v>
      </c>
      <c r="D9">
        <f t="shared" si="4"/>
        <v>9.5999999999999974E-2</v>
      </c>
      <c r="E9">
        <f t="shared" si="1"/>
        <v>0.13411100417439986</v>
      </c>
      <c r="N9">
        <f t="shared" si="2"/>
        <v>-0.18103448275862077</v>
      </c>
      <c r="Q9" s="77">
        <v>3509</v>
      </c>
    </row>
    <row r="10" spans="1:17" x14ac:dyDescent="0.5">
      <c r="A10" s="28">
        <v>0.79</v>
      </c>
      <c r="B10">
        <f t="shared" si="5"/>
        <v>6.5999999999999948E-2</v>
      </c>
      <c r="C10">
        <f t="shared" si="3"/>
        <v>0.85599999999999998</v>
      </c>
      <c r="D10">
        <f t="shared" si="4"/>
        <v>6.5999999999999948E-2</v>
      </c>
      <c r="E10">
        <f t="shared" si="1"/>
        <v>3.5258336087873571E-2</v>
      </c>
      <c r="N10">
        <f t="shared" si="2"/>
        <v>-0.14223669923995652</v>
      </c>
      <c r="Q10" s="77">
        <v>3440</v>
      </c>
    </row>
    <row r="11" spans="1:17" x14ac:dyDescent="0.5">
      <c r="A11" s="28">
        <v>0.78200000000000003</v>
      </c>
      <c r="B11">
        <f t="shared" si="5"/>
        <v>7.3999999999999955E-2</v>
      </c>
      <c r="C11">
        <f t="shared" si="3"/>
        <v>0.85599999999999998</v>
      </c>
      <c r="D11">
        <f t="shared" si="4"/>
        <v>7.3999999999999955E-2</v>
      </c>
      <c r="E11">
        <f t="shared" si="1"/>
        <v>5.2753835979672599E-2</v>
      </c>
      <c r="N11">
        <f t="shared" si="2"/>
        <v>-0.23107177974434601</v>
      </c>
      <c r="Q11" s="77">
        <v>3354</v>
      </c>
    </row>
    <row r="12" spans="1:17" x14ac:dyDescent="0.5">
      <c r="A12" s="28">
        <v>0.79400000000000004</v>
      </c>
      <c r="B12">
        <f t="shared" si="5"/>
        <v>6.1999999999999944E-2</v>
      </c>
      <c r="C12">
        <f t="shared" si="3"/>
        <v>0.85599999999999998</v>
      </c>
      <c r="D12">
        <f t="shared" si="4"/>
        <v>6.1999999999999944E-2</v>
      </c>
      <c r="E12">
        <f t="shared" si="1"/>
        <v>6.9111551458534537E-2</v>
      </c>
      <c r="N12">
        <f t="shared" si="2"/>
        <v>-0.24380952380952381</v>
      </c>
      <c r="Q12" s="77">
        <v>3330</v>
      </c>
    </row>
    <row r="13" spans="1:17" x14ac:dyDescent="0.5">
      <c r="A13" s="28">
        <v>0.81</v>
      </c>
      <c r="B13">
        <f t="shared" si="5"/>
        <v>4.599999999999993E-2</v>
      </c>
      <c r="C13">
        <f t="shared" si="3"/>
        <v>0.85599999999999998</v>
      </c>
      <c r="D13">
        <f t="shared" si="4"/>
        <v>4.599999999999993E-2</v>
      </c>
      <c r="E13">
        <f t="shared" si="1"/>
        <v>0.10860142120685214</v>
      </c>
      <c r="N13">
        <f t="shared" si="2"/>
        <v>-0.25</v>
      </c>
      <c r="Q13" s="77">
        <v>3390</v>
      </c>
    </row>
    <row r="14" spans="1:17" x14ac:dyDescent="0.5">
      <c r="A14" s="28">
        <v>0.78500000000000003</v>
      </c>
      <c r="B14">
        <f t="shared" si="5"/>
        <v>7.0999999999999952E-2</v>
      </c>
      <c r="C14">
        <f t="shared" si="3"/>
        <v>0.85599999999999998</v>
      </c>
      <c r="D14">
        <f t="shared" si="4"/>
        <v>7.0999999999999952E-2</v>
      </c>
      <c r="E14">
        <f t="shared" si="1"/>
        <v>2.2134909914356734E-2</v>
      </c>
      <c r="N14">
        <f t="shared" si="2"/>
        <v>-0.29215509467989176</v>
      </c>
      <c r="Q14" s="77">
        <v>3230</v>
      </c>
    </row>
    <row r="15" spans="1:17" x14ac:dyDescent="0.5">
      <c r="A15" s="28">
        <v>0.78</v>
      </c>
      <c r="B15">
        <f t="shared" si="5"/>
        <v>7.5999999999999956E-2</v>
      </c>
      <c r="C15">
        <f t="shared" si="3"/>
        <v>0.85599999999999998</v>
      </c>
      <c r="D15">
        <f t="shared" si="4"/>
        <v>7.5999999999999956E-2</v>
      </c>
      <c r="E15">
        <f t="shared" si="1"/>
        <v>4.9200462651308466E-2</v>
      </c>
      <c r="N15">
        <f t="shared" si="2"/>
        <v>-0.27777777777777779</v>
      </c>
      <c r="Q15" s="77">
        <v>3077</v>
      </c>
    </row>
    <row r="16" spans="1:17" x14ac:dyDescent="0.5">
      <c r="A16" s="28">
        <v>0.76900000000000002</v>
      </c>
      <c r="B16">
        <f t="shared" si="5"/>
        <v>8.6999999999999966E-2</v>
      </c>
      <c r="C16">
        <f t="shared" si="3"/>
        <v>0.85599999999999998</v>
      </c>
      <c r="D16">
        <f t="shared" si="4"/>
        <v>8.6999999999999966E-2</v>
      </c>
      <c r="E16">
        <f t="shared" si="1"/>
        <v>6.8237957264095928E-2</v>
      </c>
      <c r="N16">
        <f t="shared" si="2"/>
        <v>-0.31946902654867249</v>
      </c>
      <c r="Q16" s="77">
        <v>3105</v>
      </c>
    </row>
    <row r="17" spans="1:17" x14ac:dyDescent="0.5">
      <c r="A17" s="28">
        <v>0.754</v>
      </c>
      <c r="B17">
        <f t="shared" si="5"/>
        <v>0.10199999999999998</v>
      </c>
      <c r="C17">
        <f t="shared" si="3"/>
        <v>0.85599999999999998</v>
      </c>
      <c r="D17">
        <f t="shared" si="4"/>
        <v>0.10199999999999998</v>
      </c>
      <c r="E17">
        <f t="shared" si="1"/>
        <v>1.3755550629832747E-2</v>
      </c>
      <c r="N17">
        <f t="shared" si="2"/>
        <v>-0.34434782608695647</v>
      </c>
      <c r="Q17" s="77">
        <v>3175</v>
      </c>
    </row>
    <row r="18" spans="1:17" x14ac:dyDescent="0.5">
      <c r="A18" s="28">
        <v>0.75700000000000001</v>
      </c>
      <c r="B18">
        <f t="shared" si="5"/>
        <v>9.8999999999999977E-2</v>
      </c>
      <c r="C18">
        <f t="shared" si="3"/>
        <v>0.85599999999999998</v>
      </c>
      <c r="D18">
        <f t="shared" si="4"/>
        <v>9.8999999999999977E-2</v>
      </c>
      <c r="E18">
        <f t="shared" si="1"/>
        <v>5.0706318208645129E-2</v>
      </c>
      <c r="N18">
        <f t="shared" si="2"/>
        <v>-0.34741379310344822</v>
      </c>
      <c r="Q18" s="77">
        <v>3110</v>
      </c>
    </row>
    <row r="19" spans="1:17" x14ac:dyDescent="0.5">
      <c r="A19" s="28">
        <v>0.746</v>
      </c>
      <c r="B19">
        <f t="shared" si="5"/>
        <v>0.10999999999999999</v>
      </c>
      <c r="C19">
        <f t="shared" si="3"/>
        <v>0.85599999999999998</v>
      </c>
      <c r="D19">
        <f t="shared" si="4"/>
        <v>0.10999999999999999</v>
      </c>
      <c r="E19">
        <f t="shared" si="1"/>
        <v>0.10969048196137109</v>
      </c>
      <c r="N19">
        <f t="shared" si="2"/>
        <v>-0.34847161572052399</v>
      </c>
      <c r="Q19" s="77">
        <v>3050</v>
      </c>
    </row>
    <row r="20" spans="1:17" x14ac:dyDescent="0.5">
      <c r="A20" s="28">
        <v>0.77</v>
      </c>
      <c r="B20">
        <f t="shared" si="5"/>
        <v>8.5999999999999965E-2</v>
      </c>
      <c r="C20">
        <f t="shared" si="3"/>
        <v>0.85599999999999998</v>
      </c>
      <c r="D20">
        <f t="shared" si="4"/>
        <v>8.5999999999999965E-2</v>
      </c>
      <c r="E20">
        <f t="shared" si="1"/>
        <v>1.8042236697832465E-2</v>
      </c>
      <c r="N20">
        <f t="shared" si="2"/>
        <v>-0.34412265758091987</v>
      </c>
      <c r="Q20" s="77">
        <v>3000</v>
      </c>
    </row>
    <row r="21" spans="1:17" x14ac:dyDescent="0.5">
      <c r="A21" s="28">
        <v>0.76600000000000001</v>
      </c>
      <c r="B21">
        <f t="shared" si="5"/>
        <v>8.9999999999999969E-2</v>
      </c>
      <c r="C21">
        <f t="shared" si="3"/>
        <v>0.85599999999999998</v>
      </c>
      <c r="D21">
        <f t="shared" si="4"/>
        <v>8.9999999999999969E-2</v>
      </c>
      <c r="E21">
        <f t="shared" si="1"/>
        <v>4.5521044199053957E-2</v>
      </c>
      <c r="N21">
        <f t="shared" si="2"/>
        <v>-0.38719999999999999</v>
      </c>
      <c r="Q21" s="77">
        <v>3150</v>
      </c>
    </row>
    <row r="22" spans="1:17" x14ac:dyDescent="0.5">
      <c r="A22" s="28">
        <v>0.75600000000000001</v>
      </c>
      <c r="B22">
        <f t="shared" si="5"/>
        <v>9.9999999999999978E-2</v>
      </c>
      <c r="C22">
        <f t="shared" si="3"/>
        <v>0.85599999999999998</v>
      </c>
      <c r="D22">
        <f t="shared" si="4"/>
        <v>9.9999999999999978E-2</v>
      </c>
      <c r="E22">
        <f t="shared" si="1"/>
        <v>0.20461489268858887</v>
      </c>
      <c r="N22">
        <f t="shared" si="2"/>
        <v>-0.39228295819935688</v>
      </c>
      <c r="Q22" s="77">
        <v>2841</v>
      </c>
    </row>
    <row r="23" spans="1:17" x14ac:dyDescent="0.5">
      <c r="A23" s="28">
        <v>0.80200000000000005</v>
      </c>
      <c r="B23">
        <f t="shared" si="5"/>
        <v>5.3999999999999937E-2</v>
      </c>
      <c r="C23">
        <f t="shared" si="3"/>
        <v>0.85599999999999998</v>
      </c>
      <c r="D23">
        <f t="shared" si="4"/>
        <v>5.3999999999999937E-2</v>
      </c>
      <c r="E23">
        <f t="shared" si="1"/>
        <v>0.16036463977343401</v>
      </c>
      <c r="N23">
        <f t="shared" si="2"/>
        <v>-0.35839999999999994</v>
      </c>
      <c r="Q23" s="77">
        <v>2849</v>
      </c>
    </row>
    <row r="24" spans="1:17" x14ac:dyDescent="0.5">
      <c r="A24" s="28">
        <v>0.84</v>
      </c>
      <c r="B24">
        <f t="shared" si="5"/>
        <v>1.6000000000000014E-2</v>
      </c>
      <c r="C24">
        <f t="shared" si="3"/>
        <v>0.85599999999999998</v>
      </c>
      <c r="D24">
        <f t="shared" si="4"/>
        <v>1.6000000000000014E-2</v>
      </c>
      <c r="E24">
        <f t="shared" si="1"/>
        <v>0.1046635992355385</v>
      </c>
      <c r="N24">
        <f t="shared" si="2"/>
        <v>-0.323126510878324</v>
      </c>
      <c r="Q24" s="77">
        <v>2737</v>
      </c>
    </row>
    <row r="25" spans="1:17" x14ac:dyDescent="0.5">
      <c r="A25" s="28">
        <v>0.81499999999999995</v>
      </c>
      <c r="B25">
        <f t="shared" si="5"/>
        <v>4.1000000000000036E-2</v>
      </c>
      <c r="C25">
        <f t="shared" si="3"/>
        <v>0.85599999999999998</v>
      </c>
      <c r="D25">
        <f t="shared" si="4"/>
        <v>4.1000000000000036E-2</v>
      </c>
      <c r="E25">
        <f t="shared" si="1"/>
        <v>0.30644313429096903</v>
      </c>
      <c r="N25">
        <f t="shared" si="2"/>
        <v>-0.37307692307692319</v>
      </c>
      <c r="Q25" s="77">
        <v>2680</v>
      </c>
    </row>
    <row r="26" spans="1:17" x14ac:dyDescent="0.5">
      <c r="A26" s="28">
        <v>0.746</v>
      </c>
      <c r="B26">
        <f t="shared" si="5"/>
        <v>0.10999999999999999</v>
      </c>
      <c r="C26">
        <f t="shared" si="3"/>
        <v>0.85599999999999998</v>
      </c>
      <c r="D26">
        <f t="shared" si="4"/>
        <v>0.10999999999999999</v>
      </c>
      <c r="E26">
        <f t="shared" si="1"/>
        <v>0.147027064070921</v>
      </c>
      <c r="N26">
        <f t="shared" si="2"/>
        <v>-0.41581832419733744</v>
      </c>
      <c r="Q26" s="77">
        <v>2865</v>
      </c>
    </row>
    <row r="27" spans="1:17" x14ac:dyDescent="0.5">
      <c r="A27" s="28">
        <v>0.71499999999999997</v>
      </c>
      <c r="B27">
        <f t="shared" si="5"/>
        <v>0.14100000000000001</v>
      </c>
      <c r="C27">
        <f t="shared" si="3"/>
        <v>0.85599999999999998</v>
      </c>
      <c r="D27">
        <f t="shared" si="4"/>
        <v>0.14100000000000001</v>
      </c>
      <c r="E27">
        <f t="shared" si="1"/>
        <v>0.26570354747882324</v>
      </c>
      <c r="N27">
        <f t="shared" si="2"/>
        <v>-0.42800000000000005</v>
      </c>
      <c r="Q27" s="77">
        <v>2660</v>
      </c>
    </row>
    <row r="28" spans="1:17" x14ac:dyDescent="0.5">
      <c r="A28" s="28">
        <v>0.77200000000000002</v>
      </c>
      <c r="B28">
        <f t="shared" si="5"/>
        <v>8.3999999999999964E-2</v>
      </c>
      <c r="C28">
        <f t="shared" si="3"/>
        <v>0.85599999999999998</v>
      </c>
      <c r="D28">
        <f t="shared" si="4"/>
        <v>8.3999999999999964E-2</v>
      </c>
      <c r="E28">
        <f t="shared" si="1"/>
        <v>0.20895388277271604</v>
      </c>
      <c r="N28">
        <f t="shared" si="2"/>
        <v>-0.37235772357723573</v>
      </c>
      <c r="Q28" s="77">
        <v>2710</v>
      </c>
    </row>
    <row r="29" spans="1:17" x14ac:dyDescent="0.5">
      <c r="A29" s="28">
        <v>0.82</v>
      </c>
      <c r="B29">
        <f t="shared" si="5"/>
        <v>3.6000000000000032E-2</v>
      </c>
      <c r="C29">
        <f t="shared" si="3"/>
        <v>0.85599999999999998</v>
      </c>
      <c r="D29">
        <f t="shared" si="4"/>
        <v>3.6000000000000032E-2</v>
      </c>
      <c r="E29">
        <f t="shared" si="1"/>
        <v>0.22092666722665019</v>
      </c>
      <c r="N29">
        <f t="shared" si="2"/>
        <v>-0.23292797006548172</v>
      </c>
      <c r="Q29" s="77">
        <v>2945</v>
      </c>
    </row>
    <row r="30" spans="1:17" x14ac:dyDescent="0.5">
      <c r="A30" s="28">
        <v>0.874</v>
      </c>
      <c r="B30">
        <f t="shared" si="5"/>
        <v>0</v>
      </c>
      <c r="C30">
        <f t="shared" si="3"/>
        <v>0.85599999999999998</v>
      </c>
      <c r="D30">
        <f t="shared" si="4"/>
        <v>0</v>
      </c>
      <c r="E30">
        <f t="shared" si="1"/>
        <v>0.1005323488804207</v>
      </c>
      <c r="N30">
        <f t="shared" si="2"/>
        <v>-0.19521178637200742</v>
      </c>
      <c r="Q30" s="77">
        <v>2963</v>
      </c>
    </row>
    <row r="31" spans="1:17" x14ac:dyDescent="0.5">
      <c r="A31" s="28">
        <v>0.84899999999999998</v>
      </c>
      <c r="B31">
        <f t="shared" si="5"/>
        <v>7.0000000000000062E-3</v>
      </c>
      <c r="C31">
        <f t="shared" si="3"/>
        <v>0.85599999999999998</v>
      </c>
      <c r="D31">
        <f t="shared" si="4"/>
        <v>7.0000000000000062E-3</v>
      </c>
      <c r="E31">
        <f t="shared" si="1"/>
        <v>1.6359424100735816E-2</v>
      </c>
      <c r="N31">
        <f t="shared" si="2"/>
        <v>-0.21606648199445988</v>
      </c>
      <c r="Q31" s="77">
        <v>3110</v>
      </c>
    </row>
    <row r="32" spans="1:17" x14ac:dyDescent="0.5">
      <c r="A32" s="28">
        <v>0.84499999999999997</v>
      </c>
      <c r="B32">
        <f t="shared" si="5"/>
        <v>1.100000000000001E-2</v>
      </c>
      <c r="C32">
        <f t="shared" si="3"/>
        <v>0.85599999999999998</v>
      </c>
      <c r="D32">
        <f t="shared" si="4"/>
        <v>1.100000000000001E-2</v>
      </c>
      <c r="E32">
        <f t="shared" si="1"/>
        <v>4.4803820054408812E-2</v>
      </c>
      <c r="N32">
        <f t="shared" si="2"/>
        <v>-0.29406850459482048</v>
      </c>
      <c r="Q32" s="77">
        <v>3300</v>
      </c>
    </row>
    <row r="33" spans="1:17" x14ac:dyDescent="0.5">
      <c r="A33" s="28">
        <v>0.85599999999999998</v>
      </c>
      <c r="B33">
        <f t="shared" si="5"/>
        <v>0</v>
      </c>
      <c r="C33">
        <f t="shared" si="3"/>
        <v>0.85599999999999998</v>
      </c>
      <c r="D33">
        <f t="shared" si="4"/>
        <v>0</v>
      </c>
      <c r="E33">
        <f t="shared" si="1"/>
        <v>3.6231491863051538E-2</v>
      </c>
      <c r="N33">
        <f t="shared" si="2"/>
        <v>-0.27210884353741494</v>
      </c>
      <c r="Q33" s="77">
        <v>3620</v>
      </c>
    </row>
    <row r="34" spans="1:17" x14ac:dyDescent="0.5">
      <c r="A34" s="28">
        <v>0.86499999999999999</v>
      </c>
      <c r="B34">
        <f t="shared" si="5"/>
        <v>0</v>
      </c>
      <c r="C34">
        <f t="shared" si="3"/>
        <v>0.85599999999999998</v>
      </c>
      <c r="D34">
        <f t="shared" si="4"/>
        <v>0</v>
      </c>
      <c r="E34">
        <f t="shared" si="1"/>
        <v>9.8699030085489858E-2</v>
      </c>
      <c r="N34">
        <f t="shared" si="2"/>
        <v>-0.2880658436213992</v>
      </c>
      <c r="Q34" s="77">
        <v>3400</v>
      </c>
    </row>
    <row r="35" spans="1:17" x14ac:dyDescent="0.5">
      <c r="A35" s="28">
        <v>0.89</v>
      </c>
      <c r="B35">
        <f t="shared" si="5"/>
        <v>0</v>
      </c>
      <c r="C35">
        <f t="shared" si="3"/>
        <v>0.85599999999999998</v>
      </c>
      <c r="D35">
        <f t="shared" si="4"/>
        <v>0</v>
      </c>
      <c r="E35">
        <f t="shared" si="1"/>
        <v>3.8705448648385106E-2</v>
      </c>
      <c r="N35">
        <f t="shared" si="2"/>
        <v>-0.3046875</v>
      </c>
      <c r="Q35" s="77">
        <v>3670</v>
      </c>
    </row>
    <row r="36" spans="1:17" x14ac:dyDescent="0.5">
      <c r="A36" s="28">
        <v>0.9</v>
      </c>
      <c r="B36">
        <f t="shared" si="5"/>
        <v>0</v>
      </c>
      <c r="C36">
        <f t="shared" si="3"/>
        <v>0.85599999999999998</v>
      </c>
      <c r="D36">
        <f t="shared" si="4"/>
        <v>0</v>
      </c>
      <c r="E36">
        <f t="shared" si="1"/>
        <v>7.613716626347132E-2</v>
      </c>
      <c r="N36">
        <f t="shared" si="2"/>
        <v>-0.29300864100549873</v>
      </c>
      <c r="Q36" s="77">
        <v>3613</v>
      </c>
    </row>
    <row r="37" spans="1:17" x14ac:dyDescent="0.5">
      <c r="A37" s="28">
        <v>0.92</v>
      </c>
      <c r="B37">
        <f t="shared" si="5"/>
        <v>0</v>
      </c>
      <c r="C37">
        <f t="shared" si="3"/>
        <v>0.85599999999999998</v>
      </c>
      <c r="D37">
        <f t="shared" si="4"/>
        <v>0</v>
      </c>
      <c r="E37">
        <f t="shared" si="1"/>
        <v>0.11484261491185688</v>
      </c>
      <c r="N37">
        <f t="shared" si="2"/>
        <v>-0.24590163934426224</v>
      </c>
      <c r="Q37" s="77">
        <v>3660</v>
      </c>
    </row>
    <row r="38" spans="1:17" x14ac:dyDescent="0.5">
      <c r="A38" s="28">
        <v>0.89</v>
      </c>
      <c r="B38">
        <f t="shared" si="5"/>
        <v>0</v>
      </c>
      <c r="C38">
        <f t="shared" si="3"/>
        <v>0.85599999999999998</v>
      </c>
      <c r="D38">
        <f t="shared" si="4"/>
        <v>0</v>
      </c>
      <c r="E38">
        <f t="shared" si="1"/>
        <v>0.14483502404424378</v>
      </c>
      <c r="N38">
        <f t="shared" si="2"/>
        <v>-0.25585284280936449</v>
      </c>
      <c r="Q38" s="77">
        <v>3719</v>
      </c>
    </row>
    <row r="39" spans="1:17" x14ac:dyDescent="0.5">
      <c r="A39" s="28">
        <v>0.92800000000000005</v>
      </c>
      <c r="B39">
        <f t="shared" si="5"/>
        <v>0</v>
      </c>
      <c r="C39">
        <f t="shared" si="3"/>
        <v>0.85599999999999998</v>
      </c>
      <c r="D39">
        <f t="shared" si="4"/>
        <v>0</v>
      </c>
      <c r="E39">
        <f t="shared" si="1"/>
        <v>2.6229126182001912E-2</v>
      </c>
      <c r="N39">
        <f t="shared" si="2"/>
        <v>-0.28888888888888886</v>
      </c>
      <c r="Q39" s="77">
        <v>3749</v>
      </c>
    </row>
    <row r="40" spans="1:17" x14ac:dyDescent="0.5">
      <c r="A40" s="28">
        <v>0.92100000000000004</v>
      </c>
      <c r="B40">
        <f t="shared" si="5"/>
        <v>0</v>
      </c>
      <c r="C40">
        <f t="shared" si="3"/>
        <v>0.85599999999999998</v>
      </c>
      <c r="D40">
        <f t="shared" si="4"/>
        <v>0</v>
      </c>
      <c r="E40">
        <f t="shared" si="1"/>
        <v>0.34347384970452743</v>
      </c>
      <c r="N40">
        <f t="shared" si="2"/>
        <v>-0.27821316614420066</v>
      </c>
      <c r="Q40" s="77">
        <v>3776</v>
      </c>
    </row>
    <row r="41" spans="1:17" x14ac:dyDescent="0.5">
      <c r="A41" s="28">
        <v>1.0169999999999999</v>
      </c>
      <c r="B41">
        <f t="shared" si="5"/>
        <v>0</v>
      </c>
      <c r="C41">
        <f t="shared" si="3"/>
        <v>0.85599999999999998</v>
      </c>
      <c r="D41">
        <f t="shared" si="4"/>
        <v>0</v>
      </c>
      <c r="E41">
        <f t="shared" si="1"/>
        <v>0.1106193200458044</v>
      </c>
      <c r="N41">
        <f t="shared" si="2"/>
        <v>-0.19093078758949877</v>
      </c>
      <c r="Q41" s="77">
        <v>3749</v>
      </c>
    </row>
    <row r="42" spans="1:17" x14ac:dyDescent="0.5">
      <c r="A42" s="28">
        <v>1.05</v>
      </c>
      <c r="B42">
        <f t="shared" si="5"/>
        <v>0</v>
      </c>
      <c r="C42">
        <f t="shared" si="3"/>
        <v>0.85599999999999998</v>
      </c>
      <c r="D42">
        <f t="shared" si="4"/>
        <v>0</v>
      </c>
      <c r="E42">
        <f t="shared" si="1"/>
        <v>9.7586780400179735E-2</v>
      </c>
      <c r="N42">
        <f t="shared" si="2"/>
        <v>-0.14634146341463405</v>
      </c>
      <c r="Q42" s="77">
        <v>3630</v>
      </c>
    </row>
    <row r="43" spans="1:17" x14ac:dyDescent="0.5">
      <c r="A43" s="28">
        <v>1.08</v>
      </c>
      <c r="B43">
        <f t="shared" si="5"/>
        <v>0</v>
      </c>
      <c r="C43">
        <f t="shared" si="3"/>
        <v>0.85599999999999998</v>
      </c>
      <c r="D43">
        <f t="shared" si="4"/>
        <v>0</v>
      </c>
      <c r="E43">
        <f t="shared" si="1"/>
        <v>9.179061185610575E-2</v>
      </c>
      <c r="N43">
        <f t="shared" si="2"/>
        <v>-8.7066779374471714E-2</v>
      </c>
      <c r="Q43" s="77">
        <v>3749</v>
      </c>
    </row>
    <row r="44" spans="1:17" x14ac:dyDescent="0.5">
      <c r="A44" s="28">
        <v>1.109</v>
      </c>
      <c r="B44">
        <f t="shared" si="5"/>
        <v>0</v>
      </c>
      <c r="C44">
        <f t="shared" si="3"/>
        <v>0.85599999999999998</v>
      </c>
      <c r="D44">
        <f t="shared" si="4"/>
        <v>0</v>
      </c>
      <c r="E44">
        <f t="shared" si="1"/>
        <v>9.1790611856105528E-2</v>
      </c>
      <c r="N44">
        <f t="shared" si="2"/>
        <v>-6.2552831783601048E-2</v>
      </c>
      <c r="Q44" s="77">
        <v>3715</v>
      </c>
    </row>
    <row r="45" spans="1:17" x14ac:dyDescent="0.5">
      <c r="A45" s="28">
        <v>1.08</v>
      </c>
      <c r="B45">
        <f t="shared" si="5"/>
        <v>0</v>
      </c>
      <c r="C45">
        <f t="shared" si="3"/>
        <v>0.85599999999999998</v>
      </c>
      <c r="D45">
        <f t="shared" si="4"/>
        <v>0</v>
      </c>
      <c r="E45">
        <f t="shared" si="1"/>
        <v>0.15677343201603869</v>
      </c>
      <c r="N45">
        <f t="shared" si="2"/>
        <v>-9.9999999999999867E-2</v>
      </c>
      <c r="Q45" s="77">
        <v>3606</v>
      </c>
    </row>
    <row r="46" spans="1:17" x14ac:dyDescent="0.5">
      <c r="A46" s="28">
        <v>1.1299999999999999</v>
      </c>
      <c r="B46">
        <f t="shared" si="5"/>
        <v>0</v>
      </c>
      <c r="C46">
        <f t="shared" si="3"/>
        <v>0.85599999999999998</v>
      </c>
      <c r="D46">
        <f t="shared" si="4"/>
        <v>0</v>
      </c>
      <c r="E46">
        <f t="shared" si="1"/>
        <v>6.0775271398192519E-2</v>
      </c>
      <c r="N46">
        <f t="shared" si="2"/>
        <v>8.9285714285711748E-3</v>
      </c>
      <c r="Q46" s="77">
        <v>3567</v>
      </c>
    </row>
    <row r="47" spans="1:17" x14ac:dyDescent="0.5">
      <c r="A47" s="28">
        <v>1.1499999999999999</v>
      </c>
      <c r="B47">
        <f t="shared" si="5"/>
        <v>0</v>
      </c>
      <c r="C47">
        <f t="shared" si="3"/>
        <v>0.85599999999999998</v>
      </c>
      <c r="D47">
        <f t="shared" si="4"/>
        <v>0</v>
      </c>
      <c r="E47">
        <f t="shared" si="1"/>
        <v>2.9992409132387099E-2</v>
      </c>
      <c r="N47">
        <f t="shared" si="2"/>
        <v>3.603603603603589E-2</v>
      </c>
      <c r="Q47" s="77">
        <v>3600</v>
      </c>
    </row>
    <row r="48" spans="1:17" x14ac:dyDescent="0.5">
      <c r="A48" s="28">
        <v>1.1599999999999999</v>
      </c>
      <c r="B48">
        <f t="shared" si="5"/>
        <v>0</v>
      </c>
      <c r="C48">
        <f t="shared" si="3"/>
        <v>0.85599999999999998</v>
      </c>
      <c r="D48">
        <f t="shared" si="4"/>
        <v>0</v>
      </c>
      <c r="E48">
        <f t="shared" si="1"/>
        <v>4.5086557698634899E-2</v>
      </c>
      <c r="N48">
        <f t="shared" si="2"/>
        <v>5.6466302367941479E-2</v>
      </c>
      <c r="Q48" s="77">
        <v>3640</v>
      </c>
    </row>
    <row r="49" spans="1:17" x14ac:dyDescent="0.5">
      <c r="A49" s="28">
        <v>1.145</v>
      </c>
      <c r="B49">
        <f t="shared" si="5"/>
        <v>0</v>
      </c>
      <c r="C49">
        <f t="shared" si="3"/>
        <v>0.85599999999999998</v>
      </c>
      <c r="D49">
        <f t="shared" si="4"/>
        <v>0</v>
      </c>
      <c r="E49">
        <f t="shared" si="1"/>
        <v>8.6644401966968473E-2</v>
      </c>
      <c r="N49">
        <f t="shared" si="2"/>
        <v>0.12254901960784315</v>
      </c>
      <c r="Q49" s="77">
        <v>3540</v>
      </c>
    </row>
    <row r="50" spans="1:17" x14ac:dyDescent="0.5">
      <c r="A50" s="28">
        <v>1.1739999999999999</v>
      </c>
      <c r="B50">
        <f t="shared" si="5"/>
        <v>0</v>
      </c>
      <c r="C50">
        <f t="shared" si="3"/>
        <v>0.85599999999999998</v>
      </c>
      <c r="D50">
        <f t="shared" si="4"/>
        <v>0</v>
      </c>
      <c r="E50">
        <f t="shared" si="1"/>
        <v>0.21729211279783103</v>
      </c>
      <c r="N50">
        <f t="shared" si="2"/>
        <v>9.7196261682242824E-2</v>
      </c>
      <c r="Q50" s="77">
        <v>3517</v>
      </c>
    </row>
    <row r="51" spans="1:17" x14ac:dyDescent="0.5">
      <c r="A51" s="28">
        <v>1.25</v>
      </c>
      <c r="B51">
        <f t="shared" si="5"/>
        <v>0</v>
      </c>
      <c r="C51">
        <f t="shared" si="3"/>
        <v>0.85599999999999998</v>
      </c>
      <c r="D51">
        <f t="shared" si="4"/>
        <v>0</v>
      </c>
      <c r="E51">
        <f t="shared" si="1"/>
        <v>1.6667722365404501E-2</v>
      </c>
      <c r="N51">
        <f t="shared" si="2"/>
        <v>0.15740740740740744</v>
      </c>
      <c r="Q51" s="77">
        <v>3550</v>
      </c>
    </row>
    <row r="52" spans="1:17" x14ac:dyDescent="0.5">
      <c r="A52" s="28">
        <v>1.244</v>
      </c>
      <c r="B52">
        <f t="shared" si="5"/>
        <v>0</v>
      </c>
      <c r="C52">
        <f t="shared" si="3"/>
        <v>0.85599999999999998</v>
      </c>
      <c r="D52">
        <f t="shared" si="4"/>
        <v>0</v>
      </c>
      <c r="E52">
        <f t="shared" si="1"/>
        <v>1.6667722365404376E-2</v>
      </c>
      <c r="N52">
        <f t="shared" si="2"/>
        <v>0.19615384615384612</v>
      </c>
      <c r="Q52" s="77">
        <v>3490</v>
      </c>
    </row>
    <row r="53" spans="1:17" x14ac:dyDescent="0.5">
      <c r="A53" s="28">
        <v>1.25</v>
      </c>
      <c r="B53">
        <f t="shared" si="5"/>
        <v>0</v>
      </c>
      <c r="C53">
        <f t="shared" si="3"/>
        <v>0.85599999999999998</v>
      </c>
      <c r="D53">
        <f t="shared" si="4"/>
        <v>0</v>
      </c>
      <c r="E53">
        <f t="shared" si="1"/>
        <v>2.5031754473352721E-2</v>
      </c>
      <c r="N53">
        <f t="shared" si="2"/>
        <v>0.25</v>
      </c>
      <c r="Q53" s="77">
        <v>3402</v>
      </c>
    </row>
    <row r="54" spans="1:17" x14ac:dyDescent="0.5">
      <c r="A54" s="28">
        <v>1.2410000000000001</v>
      </c>
      <c r="B54">
        <f t="shared" si="5"/>
        <v>0</v>
      </c>
      <c r="C54">
        <f t="shared" si="3"/>
        <v>0.85599999999999998</v>
      </c>
      <c r="D54">
        <f t="shared" si="4"/>
        <v>0</v>
      </c>
      <c r="E54">
        <f t="shared" si="1"/>
        <v>0.16089629025448959</v>
      </c>
      <c r="N54">
        <f t="shared" si="2"/>
        <v>0.27806385169927927</v>
      </c>
      <c r="Q54" s="77">
        <v>3379</v>
      </c>
    </row>
    <row r="55" spans="1:17" x14ac:dyDescent="0.5">
      <c r="A55" s="28">
        <v>1.3</v>
      </c>
      <c r="B55">
        <f t="shared" si="5"/>
        <v>0</v>
      </c>
      <c r="C55">
        <f t="shared" si="3"/>
        <v>0.85599999999999998</v>
      </c>
      <c r="D55">
        <f t="shared" si="4"/>
        <v>0</v>
      </c>
      <c r="E55">
        <f t="shared" si="1"/>
        <v>6.1836595112856683E-2</v>
      </c>
      <c r="N55">
        <f t="shared" si="2"/>
        <v>0.49082568807339455</v>
      </c>
      <c r="Q55" s="77">
        <v>3300</v>
      </c>
    </row>
    <row r="56" spans="1:17" x14ac:dyDescent="0.5">
      <c r="A56" s="28">
        <v>1.2769999999999999</v>
      </c>
      <c r="B56">
        <f t="shared" si="5"/>
        <v>0</v>
      </c>
      <c r="C56">
        <f t="shared" si="3"/>
        <v>0.85599999999999998</v>
      </c>
      <c r="D56">
        <f t="shared" si="4"/>
        <v>0</v>
      </c>
      <c r="E56">
        <f t="shared" si="1"/>
        <v>7.4027940668279224E-2</v>
      </c>
      <c r="N56">
        <f t="shared" si="2"/>
        <v>0.54227053140096615</v>
      </c>
      <c r="Q56" s="77">
        <v>3116</v>
      </c>
    </row>
    <row r="57" spans="1:17" x14ac:dyDescent="0.5">
      <c r="A57" s="28">
        <v>1.25</v>
      </c>
      <c r="B57">
        <f t="shared" si="5"/>
        <v>0</v>
      </c>
      <c r="C57">
        <f t="shared" si="3"/>
        <v>0.85599999999999998</v>
      </c>
      <c r="D57">
        <f t="shared" si="4"/>
        <v>-2.8000000000000025E-2</v>
      </c>
      <c r="E57">
        <f t="shared" si="1"/>
        <v>5.587381799448389E-2</v>
      </c>
      <c r="N57">
        <f t="shared" si="2"/>
        <v>0.77304964539007104</v>
      </c>
      <c r="Q57" s="77">
        <v>3049</v>
      </c>
    </row>
    <row r="58" spans="1:17" x14ac:dyDescent="0.5">
      <c r="A58" s="28">
        <v>1.23</v>
      </c>
      <c r="B58">
        <f t="shared" si="5"/>
        <v>0</v>
      </c>
      <c r="C58">
        <f t="shared" si="3"/>
        <v>0.85599999999999998</v>
      </c>
      <c r="D58">
        <f t="shared" si="4"/>
        <v>-0.15100000000000002</v>
      </c>
      <c r="E58">
        <f t="shared" si="1"/>
        <v>0.48598067699294972</v>
      </c>
      <c r="N58">
        <f t="shared" si="2"/>
        <v>0.68493150684931514</v>
      </c>
      <c r="Q58" s="77">
        <v>3232</v>
      </c>
    </row>
    <row r="59" spans="1:17" x14ac:dyDescent="0.5">
      <c r="A59" s="28">
        <v>1.069</v>
      </c>
      <c r="B59">
        <f t="shared" si="5"/>
        <v>0</v>
      </c>
      <c r="C59">
        <f t="shared" si="3"/>
        <v>0.85599999999999998</v>
      </c>
      <c r="D59">
        <f t="shared" si="4"/>
        <v>-0.126</v>
      </c>
      <c r="E59">
        <f t="shared" si="1"/>
        <v>5.4655173161974005E-2</v>
      </c>
      <c r="N59">
        <f t="shared" si="2"/>
        <v>0.42723631508678239</v>
      </c>
      <c r="Q59" s="77">
        <v>3292</v>
      </c>
    </row>
    <row r="60" spans="1:17" x14ac:dyDescent="0.5">
      <c r="A60" s="28">
        <v>1.0860000000000001</v>
      </c>
      <c r="B60">
        <f t="shared" si="5"/>
        <v>0</v>
      </c>
      <c r="C60">
        <f t="shared" si="3"/>
        <v>0.85599999999999998</v>
      </c>
      <c r="D60">
        <f t="shared" si="4"/>
        <v>-0.10699999999999998</v>
      </c>
      <c r="E60">
        <f t="shared" si="1"/>
        <v>9.5825831926018516E-3</v>
      </c>
      <c r="N60">
        <f t="shared" si="2"/>
        <v>0.42519685039370092</v>
      </c>
      <c r="Q60" s="77">
        <v>3230</v>
      </c>
    </row>
    <row r="61" spans="1:17" x14ac:dyDescent="0.5">
      <c r="A61" s="28">
        <v>1.083</v>
      </c>
      <c r="B61">
        <f t="shared" si="5"/>
        <v>0</v>
      </c>
      <c r="C61">
        <f t="shared" si="3"/>
        <v>0.85599999999999998</v>
      </c>
      <c r="D61">
        <f t="shared" si="4"/>
        <v>-9.3999999999999972E-2</v>
      </c>
      <c r="E61">
        <f t="shared" si="1"/>
        <v>0.34669927043581611</v>
      </c>
      <c r="N61">
        <f t="shared" ref="N61:N65" si="6">(A61/A62)-1</f>
        <v>-9.5238095238095344E-2</v>
      </c>
      <c r="Q61" s="77">
        <v>3183</v>
      </c>
    </row>
    <row r="62" spans="1:17" x14ac:dyDescent="0.5">
      <c r="A62" s="28">
        <v>1.1970000000000001</v>
      </c>
      <c r="B62">
        <f t="shared" si="5"/>
        <v>0</v>
      </c>
      <c r="C62">
        <f t="shared" si="3"/>
        <v>0.85599999999999998</v>
      </c>
      <c r="D62">
        <f t="shared" si="4"/>
        <v>0</v>
      </c>
      <c r="E62">
        <f t="shared" si="1"/>
        <v>6.1313133617290475E-2</v>
      </c>
      <c r="N62">
        <f t="shared" si="6"/>
        <v>1.7857142857143016E-2</v>
      </c>
      <c r="Q62" s="77">
        <v>3193</v>
      </c>
    </row>
    <row r="63" spans="1:17" x14ac:dyDescent="0.5">
      <c r="A63" s="28">
        <v>1.1759999999999999</v>
      </c>
      <c r="B63">
        <f t="shared" si="5"/>
        <v>0</v>
      </c>
      <c r="C63">
        <f t="shared" si="3"/>
        <v>0.85599999999999998</v>
      </c>
      <c r="D63">
        <f t="shared" si="4"/>
        <v>-3.7747252747252727E-2</v>
      </c>
      <c r="E63">
        <f t="shared" si="1"/>
        <v>0.11301710263985777</v>
      </c>
      <c r="N63">
        <f t="shared" si="6"/>
        <v>-3.2098765432098886E-2</v>
      </c>
      <c r="Q63" s="77">
        <v>3149</v>
      </c>
    </row>
    <row r="64" spans="1:17" x14ac:dyDescent="0.5">
      <c r="A64" s="28">
        <v>1.2150000000000001</v>
      </c>
      <c r="B64">
        <f t="shared" si="5"/>
        <v>0</v>
      </c>
      <c r="C64">
        <f t="shared" si="3"/>
        <v>0.85599999999999998</v>
      </c>
      <c r="D64">
        <f t="shared" si="4"/>
        <v>0</v>
      </c>
      <c r="E64">
        <f t="shared" si="1"/>
        <v>0.18053512372017952</v>
      </c>
      <c r="N64">
        <f t="shared" si="6"/>
        <v>-5.078125E-2</v>
      </c>
      <c r="Q64" s="77">
        <v>3229</v>
      </c>
    </row>
    <row r="65" spans="1:17" x14ac:dyDescent="0.5">
      <c r="A65" s="28">
        <v>1.28</v>
      </c>
      <c r="B65">
        <f t="shared" si="5"/>
        <v>0</v>
      </c>
      <c r="C65">
        <f t="shared" si="3"/>
        <v>0.85599999999999998</v>
      </c>
      <c r="D65">
        <f t="shared" si="4"/>
        <v>0</v>
      </c>
      <c r="E65">
        <f t="shared" si="1"/>
        <v>1.8996296178933329E-2</v>
      </c>
      <c r="N65">
        <f t="shared" si="6"/>
        <v>5.498821681068522E-3</v>
      </c>
      <c r="Q65" s="77">
        <v>3208</v>
      </c>
    </row>
    <row r="66" spans="1:17" x14ac:dyDescent="0.5">
      <c r="A66" s="28">
        <v>1.2729999999999999</v>
      </c>
      <c r="B66">
        <f t="shared" ref="B66:B91" si="7">MAX(C66-A66,0)</f>
        <v>0</v>
      </c>
      <c r="C66">
        <f t="shared" si="3"/>
        <v>0.85599999999999998</v>
      </c>
      <c r="D66">
        <f t="shared" si="4"/>
        <v>0</v>
      </c>
      <c r="E66">
        <f t="shared" ref="E66:E91" si="8">ABS(LN(A66/A67)*2*SQRT(3))</f>
        <v>0.14731251754604122</v>
      </c>
      <c r="N66">
        <f t="shared" ref="N66:N91" si="9">(A66/A67)-1</f>
        <v>4.3442622950819576E-2</v>
      </c>
      <c r="Q66" s="77">
        <v>3175</v>
      </c>
    </row>
    <row r="67" spans="1:17" x14ac:dyDescent="0.5">
      <c r="A67" s="28">
        <v>1.22</v>
      </c>
      <c r="B67">
        <f t="shared" si="7"/>
        <v>0</v>
      </c>
      <c r="C67">
        <f t="shared" ref="C67:C91" si="10">C66</f>
        <v>0.85599999999999998</v>
      </c>
      <c r="D67">
        <f t="shared" ref="D67:D91" si="11">B67-B96</f>
        <v>0</v>
      </c>
      <c r="E67">
        <f t="shared" si="8"/>
        <v>6.8825474852942839E-2</v>
      </c>
      <c r="N67">
        <f t="shared" si="9"/>
        <v>2.006688963210701E-2</v>
      </c>
      <c r="Q67" s="77">
        <v>3090</v>
      </c>
    </row>
    <row r="68" spans="1:17" x14ac:dyDescent="0.5">
      <c r="A68" s="28">
        <v>1.196</v>
      </c>
      <c r="B68">
        <f t="shared" si="7"/>
        <v>0</v>
      </c>
      <c r="C68">
        <f t="shared" si="10"/>
        <v>0.85599999999999998</v>
      </c>
      <c r="D68">
        <f t="shared" si="11"/>
        <v>0</v>
      </c>
      <c r="E68">
        <f t="shared" si="8"/>
        <v>0.30214027740435656</v>
      </c>
      <c r="N68">
        <f t="shared" si="9"/>
        <v>-8.3524904214559381E-2</v>
      </c>
      <c r="Q68" s="77">
        <v>2988</v>
      </c>
    </row>
    <row r="69" spans="1:17" x14ac:dyDescent="0.5">
      <c r="A69" s="28">
        <v>1.3049999999999999</v>
      </c>
      <c r="B69">
        <f t="shared" si="7"/>
        <v>0</v>
      </c>
      <c r="C69">
        <f t="shared" si="10"/>
        <v>0.85599999999999998</v>
      </c>
      <c r="D69">
        <f t="shared" si="11"/>
        <v>0</v>
      </c>
      <c r="E69">
        <f t="shared" si="8"/>
        <v>7.7848256253874051E-2</v>
      </c>
      <c r="N69">
        <f t="shared" si="9"/>
        <v>2.2727272727272707E-2</v>
      </c>
      <c r="Q69" s="77">
        <v>2889</v>
      </c>
    </row>
    <row r="70" spans="1:17" x14ac:dyDescent="0.5">
      <c r="A70" s="28">
        <v>1.276</v>
      </c>
      <c r="B70">
        <f t="shared" si="7"/>
        <v>0</v>
      </c>
      <c r="C70">
        <f t="shared" si="10"/>
        <v>0.85599999999999998</v>
      </c>
      <c r="D70">
        <f t="shared" si="11"/>
        <v>0</v>
      </c>
      <c r="E70">
        <f t="shared" si="8"/>
        <v>5.1969336865626728E-2</v>
      </c>
      <c r="N70">
        <f t="shared" si="9"/>
        <v>1.5115354017502192E-2</v>
      </c>
      <c r="Q70" s="77">
        <v>2910</v>
      </c>
    </row>
    <row r="71" spans="1:17" x14ac:dyDescent="0.5">
      <c r="A71" s="28">
        <v>1.2569999999999999</v>
      </c>
      <c r="B71">
        <f t="shared" si="7"/>
        <v>0</v>
      </c>
      <c r="C71">
        <f t="shared" si="10"/>
        <v>0.85599999999999998</v>
      </c>
      <c r="D71">
        <f t="shared" si="11"/>
        <v>0</v>
      </c>
      <c r="E71">
        <f t="shared" si="8"/>
        <v>7.5218671861924991E-2</v>
      </c>
      <c r="N71">
        <f t="shared" si="9"/>
        <v>2.1951219512195141E-2</v>
      </c>
      <c r="Q71" s="77">
        <v>2900</v>
      </c>
    </row>
    <row r="72" spans="1:17" x14ac:dyDescent="0.5">
      <c r="A72" s="28">
        <v>1.23</v>
      </c>
      <c r="B72">
        <f t="shared" si="7"/>
        <v>0</v>
      </c>
      <c r="C72">
        <f t="shared" si="10"/>
        <v>0.85599999999999998</v>
      </c>
      <c r="D72">
        <f t="shared" si="11"/>
        <v>0</v>
      </c>
      <c r="E72">
        <f t="shared" si="8"/>
        <v>0.13496342330544628</v>
      </c>
      <c r="N72">
        <f t="shared" si="9"/>
        <v>3.9729501267962819E-2</v>
      </c>
      <c r="Q72" s="77">
        <v>2932</v>
      </c>
    </row>
    <row r="73" spans="1:17" x14ac:dyDescent="0.5">
      <c r="A73" s="28">
        <v>1.1830000000000001</v>
      </c>
      <c r="B73">
        <f t="shared" si="7"/>
        <v>0</v>
      </c>
      <c r="C73">
        <f t="shared" si="10"/>
        <v>0.85599999999999998</v>
      </c>
      <c r="D73">
        <f t="shared" si="11"/>
        <v>0</v>
      </c>
      <c r="E73">
        <f t="shared" si="8"/>
        <v>0</v>
      </c>
      <c r="N73">
        <f t="shared" si="9"/>
        <v>0</v>
      </c>
      <c r="Q73" s="77">
        <v>2888</v>
      </c>
    </row>
    <row r="74" spans="1:17" x14ac:dyDescent="0.5">
      <c r="A74" s="28">
        <v>1.1830000000000001</v>
      </c>
      <c r="B74">
        <f t="shared" si="7"/>
        <v>0</v>
      </c>
      <c r="C74">
        <f t="shared" si="10"/>
        <v>0.85599999999999998</v>
      </c>
      <c r="D74">
        <f t="shared" si="11"/>
        <v>0</v>
      </c>
      <c r="E74">
        <f t="shared" si="8"/>
        <v>4.9425704149169067E-2</v>
      </c>
      <c r="N74">
        <f t="shared" si="9"/>
        <v>-1.416666666666655E-2</v>
      </c>
      <c r="Q74" s="77">
        <v>2934</v>
      </c>
    </row>
    <row r="75" spans="1:17" x14ac:dyDescent="0.5">
      <c r="A75" s="28">
        <v>1.2</v>
      </c>
      <c r="B75">
        <f t="shared" si="7"/>
        <v>0</v>
      </c>
      <c r="C75">
        <f t="shared" si="10"/>
        <v>0.85599999999999998</v>
      </c>
      <c r="D75">
        <f t="shared" si="11"/>
        <v>0</v>
      </c>
      <c r="E75">
        <f t="shared" si="8"/>
        <v>0.23899831755093995</v>
      </c>
      <c r="N75">
        <f t="shared" si="9"/>
        <v>7.1428571428571397E-2</v>
      </c>
      <c r="Q75" s="77">
        <v>2920</v>
      </c>
    </row>
    <row r="76" spans="1:17" x14ac:dyDescent="0.5">
      <c r="A76" s="28">
        <v>1.1200000000000001</v>
      </c>
      <c r="B76">
        <f t="shared" si="7"/>
        <v>0</v>
      </c>
      <c r="C76">
        <f t="shared" si="10"/>
        <v>0.85599999999999998</v>
      </c>
      <c r="D76">
        <f t="shared" si="11"/>
        <v>0</v>
      </c>
      <c r="E76">
        <f t="shared" si="8"/>
        <v>3.1068384172917508E-2</v>
      </c>
      <c r="N76">
        <f t="shared" si="9"/>
        <v>9.009009009008917E-3</v>
      </c>
      <c r="Q76" s="77">
        <v>2900</v>
      </c>
    </row>
    <row r="77" spans="1:17" x14ac:dyDescent="0.5">
      <c r="A77" s="28">
        <v>1.1100000000000001</v>
      </c>
      <c r="B77">
        <f t="shared" si="7"/>
        <v>0</v>
      </c>
      <c r="C77">
        <f t="shared" si="10"/>
        <v>0.85599999999999998</v>
      </c>
      <c r="D77">
        <f t="shared" si="11"/>
        <v>0</v>
      </c>
      <c r="E77">
        <f t="shared" si="8"/>
        <v>3.7653649151876779E-2</v>
      </c>
      <c r="N77">
        <f t="shared" si="9"/>
        <v>1.0928961748633892E-2</v>
      </c>
      <c r="Q77" s="77">
        <v>2905</v>
      </c>
    </row>
    <row r="78" spans="1:17" x14ac:dyDescent="0.5">
      <c r="A78" s="28">
        <v>1.0980000000000001</v>
      </c>
      <c r="B78">
        <f t="shared" si="7"/>
        <v>0</v>
      </c>
      <c r="C78">
        <f t="shared" si="10"/>
        <v>0.85599999999999998</v>
      </c>
      <c r="D78">
        <f t="shared" si="11"/>
        <v>0</v>
      </c>
      <c r="E78">
        <f t="shared" si="8"/>
        <v>0.25526173528796686</v>
      </c>
      <c r="N78">
        <f t="shared" si="9"/>
        <v>7.647058823529429E-2</v>
      </c>
      <c r="Q78" s="77">
        <v>2875</v>
      </c>
    </row>
    <row r="79" spans="1:17" x14ac:dyDescent="0.5">
      <c r="A79" s="28">
        <v>1.02</v>
      </c>
      <c r="B79">
        <f t="shared" si="7"/>
        <v>0</v>
      </c>
      <c r="C79">
        <f t="shared" si="10"/>
        <v>0.85599999999999998</v>
      </c>
      <c r="D79">
        <f t="shared" si="11"/>
        <v>0</v>
      </c>
      <c r="E79">
        <f t="shared" si="8"/>
        <v>0.16577812025551233</v>
      </c>
      <c r="N79">
        <f t="shared" si="9"/>
        <v>-4.6728971962616828E-2</v>
      </c>
      <c r="Q79" s="77">
        <v>2850</v>
      </c>
    </row>
    <row r="80" spans="1:17" x14ac:dyDescent="0.5">
      <c r="A80" s="28">
        <v>1.07</v>
      </c>
      <c r="B80">
        <f t="shared" si="7"/>
        <v>0</v>
      </c>
      <c r="C80">
        <f t="shared" si="10"/>
        <v>0.85599999999999998</v>
      </c>
      <c r="D80">
        <f t="shared" si="11"/>
        <v>0</v>
      </c>
      <c r="E80">
        <f t="shared" si="8"/>
        <v>3.2224433446166004E-2</v>
      </c>
      <c r="N80">
        <f t="shared" si="9"/>
        <v>-9.2592592592593004E-3</v>
      </c>
      <c r="Q80" s="77">
        <v>2788</v>
      </c>
    </row>
    <row r="81" spans="1:17" x14ac:dyDescent="0.5">
      <c r="A81" s="28">
        <v>1.08</v>
      </c>
      <c r="B81">
        <f t="shared" si="7"/>
        <v>0</v>
      </c>
      <c r="C81">
        <f t="shared" si="10"/>
        <v>0.85599999999999998</v>
      </c>
      <c r="D81">
        <f t="shared" si="11"/>
        <v>0</v>
      </c>
      <c r="E81">
        <f t="shared" si="8"/>
        <v>0.13073633112120928</v>
      </c>
      <c r="N81">
        <f t="shared" si="9"/>
        <v>3.8461538461538547E-2</v>
      </c>
      <c r="Q81" s="77">
        <v>2850</v>
      </c>
    </row>
    <row r="82" spans="1:17" x14ac:dyDescent="0.5">
      <c r="A82" s="28">
        <v>1.04</v>
      </c>
      <c r="B82">
        <f t="shared" si="7"/>
        <v>0</v>
      </c>
      <c r="C82">
        <f t="shared" si="10"/>
        <v>0.85599999999999998</v>
      </c>
      <c r="D82">
        <f t="shared" si="11"/>
        <v>0</v>
      </c>
      <c r="E82">
        <f t="shared" si="8"/>
        <v>0.13586453578113641</v>
      </c>
      <c r="N82">
        <f t="shared" si="9"/>
        <v>4.0000000000000036E-2</v>
      </c>
      <c r="Q82" s="77">
        <v>2909</v>
      </c>
    </row>
    <row r="83" spans="1:17" x14ac:dyDescent="0.5">
      <c r="A83" s="28">
        <v>1</v>
      </c>
      <c r="B83">
        <f t="shared" si="7"/>
        <v>0</v>
      </c>
      <c r="C83">
        <f t="shared" si="10"/>
        <v>0.85599999999999998</v>
      </c>
      <c r="D83">
        <f t="shared" si="11"/>
        <v>0</v>
      </c>
      <c r="E83">
        <f t="shared" si="8"/>
        <v>0.10194439064562573</v>
      </c>
      <c r="N83">
        <f t="shared" si="9"/>
        <v>2.9866117404737436E-2</v>
      </c>
      <c r="Q83" s="77">
        <v>2830</v>
      </c>
    </row>
    <row r="84" spans="1:17" x14ac:dyDescent="0.5">
      <c r="A84" s="28">
        <v>0.97099999999999997</v>
      </c>
      <c r="B84">
        <f t="shared" si="7"/>
        <v>0</v>
      </c>
      <c r="C84">
        <f t="shared" si="10"/>
        <v>0.85599999999999998</v>
      </c>
      <c r="D84">
        <f t="shared" si="11"/>
        <v>0</v>
      </c>
      <c r="E84">
        <f t="shared" si="8"/>
        <v>0.37251924913202239</v>
      </c>
      <c r="N84">
        <f t="shared" si="9"/>
        <v>0.11353211009174302</v>
      </c>
      <c r="Q84" s="77">
        <v>2825</v>
      </c>
    </row>
    <row r="85" spans="1:17" x14ac:dyDescent="0.5">
      <c r="A85" s="28">
        <v>0.872</v>
      </c>
      <c r="B85">
        <f t="shared" si="7"/>
        <v>0</v>
      </c>
      <c r="C85">
        <f t="shared" si="10"/>
        <v>0.85599999999999998</v>
      </c>
      <c r="D85">
        <f t="shared" si="11"/>
        <v>0</v>
      </c>
      <c r="E85">
        <f t="shared" si="8"/>
        <v>0.17935825888292597</v>
      </c>
      <c r="N85">
        <f t="shared" si="9"/>
        <v>5.3140096618357502E-2</v>
      </c>
      <c r="Q85" s="77">
        <v>2758</v>
      </c>
    </row>
    <row r="86" spans="1:17" x14ac:dyDescent="0.5">
      <c r="A86" s="28">
        <v>0.82799999999999996</v>
      </c>
      <c r="B86">
        <f t="shared" si="7"/>
        <v>2.8000000000000025E-2</v>
      </c>
      <c r="C86">
        <f t="shared" si="10"/>
        <v>0.85599999999999998</v>
      </c>
      <c r="D86">
        <f t="shared" si="11"/>
        <v>2.8000000000000025E-2</v>
      </c>
      <c r="E86">
        <f t="shared" si="8"/>
        <v>0.55708071912294388</v>
      </c>
      <c r="N86">
        <f t="shared" si="9"/>
        <v>0.1744680851063829</v>
      </c>
      <c r="Q86" s="77">
        <v>2849</v>
      </c>
    </row>
    <row r="87" spans="1:17" x14ac:dyDescent="0.5">
      <c r="A87" s="28">
        <v>0.70499999999999996</v>
      </c>
      <c r="B87">
        <f t="shared" si="7"/>
        <v>0.15100000000000002</v>
      </c>
      <c r="C87">
        <f t="shared" si="10"/>
        <v>0.85599999999999998</v>
      </c>
      <c r="D87">
        <f t="shared" si="11"/>
        <v>0.15100000000000002</v>
      </c>
      <c r="E87">
        <f t="shared" si="8"/>
        <v>0.12071261828310702</v>
      </c>
      <c r="N87">
        <f t="shared" si="9"/>
        <v>-3.4246575342465779E-2</v>
      </c>
      <c r="Q87" s="77">
        <v>2828</v>
      </c>
    </row>
    <row r="88" spans="1:17" x14ac:dyDescent="0.5">
      <c r="A88" s="28">
        <v>0.73</v>
      </c>
      <c r="B88">
        <f t="shared" si="7"/>
        <v>0.126</v>
      </c>
      <c r="C88">
        <f t="shared" si="10"/>
        <v>0.85599999999999998</v>
      </c>
      <c r="D88">
        <f t="shared" si="11"/>
        <v>0.126</v>
      </c>
      <c r="E88">
        <f t="shared" si="8"/>
        <v>8.9008183579259798E-2</v>
      </c>
      <c r="N88">
        <f t="shared" si="9"/>
        <v>-2.5367156208277675E-2</v>
      </c>
      <c r="Q88" s="77">
        <v>2850</v>
      </c>
    </row>
    <row r="89" spans="1:17" x14ac:dyDescent="0.5">
      <c r="A89" s="28">
        <v>0.749</v>
      </c>
      <c r="B89">
        <f t="shared" si="7"/>
        <v>0.10699999999999998</v>
      </c>
      <c r="C89">
        <f t="shared" si="10"/>
        <v>0.85599999999999998</v>
      </c>
      <c r="D89">
        <f t="shared" si="11"/>
        <v>0.10699999999999998</v>
      </c>
      <c r="E89">
        <f t="shared" si="8"/>
        <v>5.9608778544710861E-2</v>
      </c>
      <c r="N89">
        <f t="shared" si="9"/>
        <v>-1.7060367454068248E-2</v>
      </c>
      <c r="Q89" s="77">
        <v>2800</v>
      </c>
    </row>
    <row r="90" spans="1:17" x14ac:dyDescent="0.5">
      <c r="A90" s="28">
        <v>0.76200000000000001</v>
      </c>
      <c r="B90">
        <f t="shared" si="7"/>
        <v>9.3999999999999972E-2</v>
      </c>
      <c r="C90">
        <f t="shared" si="10"/>
        <v>0.85599999999999998</v>
      </c>
      <c r="D90">
        <f t="shared" si="11"/>
        <v>9.3999999999999972E-2</v>
      </c>
      <c r="E90">
        <f t="shared" si="8"/>
        <v>0.47821483935474141</v>
      </c>
      <c r="N90">
        <f t="shared" si="9"/>
        <v>-0.12894375857338847</v>
      </c>
      <c r="Q90" s="77">
        <v>2726</v>
      </c>
    </row>
    <row r="91" spans="1:17" x14ac:dyDescent="0.5">
      <c r="A91" s="77">
        <f>0.9*A92</f>
        <v>0.87480000000000024</v>
      </c>
      <c r="B91">
        <f t="shared" si="7"/>
        <v>0</v>
      </c>
      <c r="C91">
        <f t="shared" si="10"/>
        <v>0.85599999999999998</v>
      </c>
      <c r="D91">
        <f t="shared" si="11"/>
        <v>0</v>
      </c>
      <c r="E91">
        <f t="shared" si="8"/>
        <v>0.36497953246202314</v>
      </c>
      <c r="N91">
        <f t="shared" si="9"/>
        <v>-0.10000000000000009</v>
      </c>
      <c r="Q91" s="77">
        <v>2763</v>
      </c>
    </row>
    <row r="92" spans="1:17" x14ac:dyDescent="0.5">
      <c r="A92" s="46">
        <f>AVERAGE(A1:A90)</f>
        <v>0.97200000000000031</v>
      </c>
      <c r="B92" s="46">
        <f>AVERAGE(B1:B91)</f>
        <v>3.7747252747252727E-2</v>
      </c>
      <c r="E92" s="46">
        <f>AVERAGE(E1:E91)</f>
        <v>0.15532009224919222</v>
      </c>
      <c r="Q92" s="77">
        <v>2690</v>
      </c>
    </row>
    <row r="93" spans="1:17" x14ac:dyDescent="0.5">
      <c r="D93" s="46">
        <f>AVERAGE(D1:D60)</f>
        <v>4.1649999999999993E-2</v>
      </c>
      <c r="E93">
        <f>(1-EXP(-E92*SQRT(1/12)))/(EXP(E92*SQRT(1/12))-EXP(-E92*SQRT(1/12)))</f>
        <v>0.48879261537727003</v>
      </c>
      <c r="Q93" s="77">
        <v>2695</v>
      </c>
    </row>
    <row r="94" spans="1:17" x14ac:dyDescent="0.5">
      <c r="Q94" s="77">
        <v>2637</v>
      </c>
    </row>
    <row r="95" spans="1:17" x14ac:dyDescent="0.5">
      <c r="D95">
        <f>VAR(D1:D90)</f>
        <v>5.8725974542448642E-3</v>
      </c>
      <c r="E95">
        <f>(1-O2)/(O1-O2)</f>
        <v>0.44018833935312268</v>
      </c>
      <c r="Q95" s="77">
        <v>2630</v>
      </c>
    </row>
    <row r="96" spans="1:17" x14ac:dyDescent="0.5">
      <c r="Q96" s="77">
        <v>2561</v>
      </c>
    </row>
    <row r="97" spans="4:17" x14ac:dyDescent="0.5">
      <c r="Q97" s="77">
        <v>2690</v>
      </c>
    </row>
    <row r="98" spans="4:17" ht="18" x14ac:dyDescent="0.6">
      <c r="D98" s="78">
        <f>MAX(B1+D93+2*D95,0)</f>
        <v>0.48139519490848975</v>
      </c>
      <c r="E98" s="78">
        <f>E95*MAX(C1-O1*A1,0)+(1-E95)*MAX(C1-O2*A1,0)</f>
        <v>0.42799999999999994</v>
      </c>
      <c r="Q98" s="77">
        <v>2644</v>
      </c>
    </row>
    <row r="99" spans="4:17" x14ac:dyDescent="0.5">
      <c r="Q99" s="77">
        <v>2670</v>
      </c>
    </row>
    <row r="100" spans="4:17" x14ac:dyDescent="0.5">
      <c r="Q100" s="77">
        <v>2775</v>
      </c>
    </row>
    <row r="101" spans="4:17" x14ac:dyDescent="0.5">
      <c r="Q101" s="77">
        <v>2830</v>
      </c>
    </row>
    <row r="102" spans="4:17" x14ac:dyDescent="0.5">
      <c r="Q102" s="77">
        <v>2840</v>
      </c>
    </row>
    <row r="103" spans="4:17" x14ac:dyDescent="0.5">
      <c r="Q103" s="77">
        <v>2821</v>
      </c>
    </row>
    <row r="104" spans="4:17" x14ac:dyDescent="0.5">
      <c r="Q104" s="77">
        <v>2688</v>
      </c>
    </row>
    <row r="105" spans="4:17" x14ac:dyDescent="0.5">
      <c r="Q105" s="77">
        <v>2610</v>
      </c>
    </row>
    <row r="106" spans="4:17" x14ac:dyDescent="0.5">
      <c r="Q106" s="77">
        <v>2625</v>
      </c>
    </row>
    <row r="107" spans="4:17" x14ac:dyDescent="0.5">
      <c r="Q107" s="77">
        <v>2710</v>
      </c>
    </row>
    <row r="108" spans="4:17" x14ac:dyDescent="0.5">
      <c r="Q108" s="77">
        <v>2789</v>
      </c>
    </row>
    <row r="109" spans="4:17" x14ac:dyDescent="0.5">
      <c r="Q109" s="77">
        <v>2805</v>
      </c>
    </row>
    <row r="110" spans="4:17" x14ac:dyDescent="0.5">
      <c r="Q110" s="77">
        <v>2842</v>
      </c>
    </row>
    <row r="111" spans="4:17" x14ac:dyDescent="0.5">
      <c r="Q111" s="77">
        <v>2800</v>
      </c>
    </row>
    <row r="112" spans="4:17" x14ac:dyDescent="0.5">
      <c r="Q112" s="77">
        <v>2790</v>
      </c>
    </row>
    <row r="113" spans="3:17" x14ac:dyDescent="0.5">
      <c r="Q113" s="77">
        <v>2800</v>
      </c>
    </row>
    <row r="114" spans="3:17" x14ac:dyDescent="0.5">
      <c r="Q114" s="77">
        <v>2749</v>
      </c>
    </row>
    <row r="115" spans="3:17" x14ac:dyDescent="0.5">
      <c r="Q115" s="77">
        <v>2740</v>
      </c>
    </row>
    <row r="116" spans="3:17" x14ac:dyDescent="0.5">
      <c r="Q116" s="77">
        <v>2720</v>
      </c>
    </row>
    <row r="117" spans="3:17" x14ac:dyDescent="0.5">
      <c r="Q117" s="77">
        <v>2720</v>
      </c>
    </row>
    <row r="118" spans="3:17" x14ac:dyDescent="0.5">
      <c r="Q118" s="77">
        <v>2692</v>
      </c>
    </row>
    <row r="119" spans="3:17" x14ac:dyDescent="0.5">
      <c r="C119">
        <v>1</v>
      </c>
      <c r="D119">
        <v>0</v>
      </c>
      <c r="E119">
        <v>0</v>
      </c>
      <c r="P119" s="77">
        <v>2700</v>
      </c>
    </row>
    <row r="120" spans="3:17" x14ac:dyDescent="0.5">
      <c r="C120">
        <v>2</v>
      </c>
      <c r="D120">
        <f ca="1">D119+_xlfn.NORM.S.INV(RAND())</f>
        <v>-0.60058333952889875</v>
      </c>
      <c r="P120" s="77">
        <v>2700</v>
      </c>
    </row>
    <row r="121" spans="3:17" x14ac:dyDescent="0.5">
      <c r="C121">
        <v>3</v>
      </c>
      <c r="D121">
        <f ca="1">D120+_xlfn.NORM.S.INV(RAND())</f>
        <v>-3.1836750124460318</v>
      </c>
      <c r="P121" s="77">
        <v>2690</v>
      </c>
    </row>
    <row r="122" spans="3:17" x14ac:dyDescent="0.5">
      <c r="C122">
        <v>4</v>
      </c>
      <c r="D122">
        <f t="shared" ref="D122:D185" ca="1" si="12">D121+_xlfn.NORM.S.INV(RAND())</f>
        <v>-2.9535021555449763</v>
      </c>
      <c r="P122" s="77">
        <v>2670</v>
      </c>
    </row>
    <row r="123" spans="3:17" x14ac:dyDescent="0.5">
      <c r="C123">
        <v>5</v>
      </c>
      <c r="D123">
        <f t="shared" ca="1" si="12"/>
        <v>-1.6111274844824357</v>
      </c>
      <c r="P123" s="77">
        <v>2582</v>
      </c>
    </row>
    <row r="124" spans="3:17" x14ac:dyDescent="0.5">
      <c r="C124">
        <v>6</v>
      </c>
      <c r="D124">
        <f t="shared" ca="1" si="12"/>
        <v>-0.94257405039627895</v>
      </c>
      <c r="P124" s="77">
        <v>2551</v>
      </c>
    </row>
    <row r="125" spans="3:17" x14ac:dyDescent="0.5">
      <c r="C125">
        <v>7</v>
      </c>
      <c r="D125">
        <f t="shared" ca="1" si="12"/>
        <v>-2.2653321376967854</v>
      </c>
      <c r="P125" s="77">
        <v>2560</v>
      </c>
    </row>
    <row r="126" spans="3:17" x14ac:dyDescent="0.5">
      <c r="C126">
        <v>8</v>
      </c>
      <c r="D126">
        <f t="shared" ca="1" si="12"/>
        <v>-2.7556219472017345</v>
      </c>
      <c r="P126" s="77">
        <v>2480</v>
      </c>
    </row>
    <row r="127" spans="3:17" x14ac:dyDescent="0.5">
      <c r="C127">
        <v>9</v>
      </c>
      <c r="D127">
        <f t="shared" ca="1" si="12"/>
        <v>-3.3150216262190204</v>
      </c>
      <c r="P127" s="77">
        <v>2490</v>
      </c>
    </row>
    <row r="128" spans="3:17" x14ac:dyDescent="0.5">
      <c r="C128">
        <v>10</v>
      </c>
      <c r="D128">
        <f t="shared" ca="1" si="12"/>
        <v>-3.2749124904282207</v>
      </c>
      <c r="P128" s="77">
        <v>2560</v>
      </c>
    </row>
    <row r="129" spans="3:16" x14ac:dyDescent="0.5">
      <c r="C129">
        <v>11</v>
      </c>
      <c r="D129">
        <f t="shared" ca="1" si="12"/>
        <v>-4.0713437561111689</v>
      </c>
      <c r="P129" s="77">
        <v>2552</v>
      </c>
    </row>
    <row r="130" spans="3:16" x14ac:dyDescent="0.5">
      <c r="C130">
        <v>12</v>
      </c>
      <c r="D130">
        <f t="shared" ca="1" si="12"/>
        <v>-3.2374719111346542</v>
      </c>
      <c r="P130" s="77">
        <v>2573</v>
      </c>
    </row>
    <row r="131" spans="3:16" x14ac:dyDescent="0.5">
      <c r="C131">
        <v>13</v>
      </c>
      <c r="D131">
        <f t="shared" ca="1" si="12"/>
        <v>-3.5409615314128295</v>
      </c>
      <c r="P131" s="77">
        <v>2524</v>
      </c>
    </row>
    <row r="132" spans="3:16" x14ac:dyDescent="0.5">
      <c r="C132">
        <v>14</v>
      </c>
      <c r="D132">
        <f t="shared" ca="1" si="12"/>
        <v>-3.6370164496108037</v>
      </c>
      <c r="P132" s="77">
        <v>2426</v>
      </c>
    </row>
    <row r="133" spans="3:16" x14ac:dyDescent="0.5">
      <c r="C133">
        <v>15</v>
      </c>
      <c r="D133">
        <f t="shared" ca="1" si="12"/>
        <v>-4.1985511978076566</v>
      </c>
      <c r="P133" s="77">
        <v>2490</v>
      </c>
    </row>
    <row r="134" spans="3:16" x14ac:dyDescent="0.5">
      <c r="C134">
        <v>16</v>
      </c>
      <c r="D134">
        <f t="shared" ca="1" si="12"/>
        <v>-3.299323111713194</v>
      </c>
      <c r="P134" s="77">
        <v>2450</v>
      </c>
    </row>
    <row r="135" spans="3:16" x14ac:dyDescent="0.5">
      <c r="C135">
        <v>17</v>
      </c>
      <c r="D135">
        <f t="shared" ca="1" si="12"/>
        <v>-2.7059018262556216</v>
      </c>
      <c r="P135" s="77">
        <v>2397</v>
      </c>
    </row>
    <row r="136" spans="3:16" x14ac:dyDescent="0.5">
      <c r="C136">
        <v>18</v>
      </c>
      <c r="D136">
        <f t="shared" ca="1" si="12"/>
        <v>-2.9118542853699774</v>
      </c>
      <c r="P136" s="77">
        <v>2420</v>
      </c>
    </row>
    <row r="137" spans="3:16" x14ac:dyDescent="0.5">
      <c r="C137">
        <v>19</v>
      </c>
      <c r="D137">
        <f t="shared" ca="1" si="12"/>
        <v>-3.3953642011782534</v>
      </c>
      <c r="P137" s="77">
        <v>2382</v>
      </c>
    </row>
    <row r="138" spans="3:16" x14ac:dyDescent="0.5">
      <c r="C138">
        <v>20</v>
      </c>
      <c r="D138">
        <f t="shared" ca="1" si="12"/>
        <v>-3.0116764790260193</v>
      </c>
      <c r="P138" s="77">
        <v>2401</v>
      </c>
    </row>
    <row r="139" spans="3:16" x14ac:dyDescent="0.5">
      <c r="C139">
        <v>21</v>
      </c>
      <c r="D139">
        <f t="shared" ca="1" si="12"/>
        <v>-5.057847834604944</v>
      </c>
      <c r="P139" s="77">
        <v>2460</v>
      </c>
    </row>
    <row r="140" spans="3:16" x14ac:dyDescent="0.5">
      <c r="C140">
        <v>22</v>
      </c>
      <c r="D140">
        <f t="shared" ca="1" si="12"/>
        <v>-5.0622123326615602</v>
      </c>
      <c r="P140" s="77">
        <v>2482</v>
      </c>
    </row>
    <row r="141" spans="3:16" x14ac:dyDescent="0.5">
      <c r="C141">
        <v>23</v>
      </c>
      <c r="D141">
        <f t="shared" ca="1" si="12"/>
        <v>-5.2516311857346603</v>
      </c>
      <c r="P141" s="77">
        <v>2510</v>
      </c>
    </row>
    <row r="142" spans="3:16" x14ac:dyDescent="0.5">
      <c r="C142">
        <v>24</v>
      </c>
      <c r="D142">
        <f t="shared" ca="1" si="12"/>
        <v>-5.4936714021986939</v>
      </c>
      <c r="P142" s="77">
        <v>2560</v>
      </c>
    </row>
    <row r="143" spans="3:16" x14ac:dyDescent="0.5">
      <c r="C143">
        <v>25</v>
      </c>
      <c r="D143">
        <f t="shared" ca="1" si="12"/>
        <v>-5.4776983965355655</v>
      </c>
      <c r="P143" s="77">
        <v>2539</v>
      </c>
    </row>
    <row r="144" spans="3:16" x14ac:dyDescent="0.5">
      <c r="C144">
        <v>26</v>
      </c>
      <c r="D144">
        <f t="shared" ca="1" si="12"/>
        <v>-5.6384100268525623</v>
      </c>
      <c r="P144" s="77">
        <v>2490</v>
      </c>
    </row>
    <row r="145" spans="3:16" x14ac:dyDescent="0.5">
      <c r="C145">
        <v>27</v>
      </c>
      <c r="D145">
        <f t="shared" ca="1" si="12"/>
        <v>-4.7260810805616984</v>
      </c>
      <c r="P145" s="77">
        <v>2640</v>
      </c>
    </row>
    <row r="146" spans="3:16" x14ac:dyDescent="0.5">
      <c r="C146">
        <v>28</v>
      </c>
      <c r="D146">
        <f t="shared" ca="1" si="12"/>
        <v>-4.5220552816110917</v>
      </c>
      <c r="P146" s="77">
        <v>2590</v>
      </c>
    </row>
    <row r="147" spans="3:16" x14ac:dyDescent="0.5">
      <c r="C147">
        <v>29</v>
      </c>
      <c r="D147">
        <f t="shared" ca="1" si="12"/>
        <v>-6.3655593577210432</v>
      </c>
      <c r="P147" s="77">
        <v>2520</v>
      </c>
    </row>
    <row r="148" spans="3:16" x14ac:dyDescent="0.5">
      <c r="C148">
        <v>30</v>
      </c>
      <c r="D148">
        <f t="shared" ca="1" si="12"/>
        <v>-5.9142362882913648</v>
      </c>
      <c r="P148" s="77">
        <v>2514</v>
      </c>
    </row>
    <row r="149" spans="3:16" x14ac:dyDescent="0.5">
      <c r="C149">
        <v>31</v>
      </c>
      <c r="D149">
        <f t="shared" ca="1" si="12"/>
        <v>-5.17460844667964</v>
      </c>
      <c r="P149" s="77">
        <v>2530</v>
      </c>
    </row>
    <row r="150" spans="3:16" x14ac:dyDescent="0.5">
      <c r="C150">
        <v>32</v>
      </c>
      <c r="D150">
        <f t="shared" ca="1" si="12"/>
        <v>-6.4595670055597907</v>
      </c>
      <c r="P150" s="77">
        <v>2529</v>
      </c>
    </row>
    <row r="151" spans="3:16" x14ac:dyDescent="0.5">
      <c r="C151">
        <v>33</v>
      </c>
      <c r="D151">
        <f t="shared" ca="1" si="12"/>
        <v>-7.7630545771233068</v>
      </c>
      <c r="P151" s="77">
        <v>2490</v>
      </c>
    </row>
    <row r="152" spans="3:16" x14ac:dyDescent="0.5">
      <c r="C152">
        <v>34</v>
      </c>
      <c r="D152">
        <f t="shared" ca="1" si="12"/>
        <v>-10.283993368831853</v>
      </c>
      <c r="P152" s="77">
        <v>2533</v>
      </c>
    </row>
    <row r="153" spans="3:16" x14ac:dyDescent="0.5">
      <c r="C153">
        <v>35</v>
      </c>
      <c r="D153">
        <f t="shared" ca="1" si="12"/>
        <v>-10.925566485965559</v>
      </c>
      <c r="P153" s="77">
        <v>2620</v>
      </c>
    </row>
    <row r="154" spans="3:16" x14ac:dyDescent="0.5">
      <c r="C154">
        <v>36</v>
      </c>
      <c r="D154">
        <f t="shared" ca="1" si="12"/>
        <v>-9.7074290272465831</v>
      </c>
      <c r="P154" s="77">
        <v>2639</v>
      </c>
    </row>
    <row r="155" spans="3:16" x14ac:dyDescent="0.5">
      <c r="C155">
        <v>37</v>
      </c>
      <c r="D155">
        <f t="shared" ca="1" si="12"/>
        <v>-11.485869461002553</v>
      </c>
      <c r="P155" s="77">
        <v>2600</v>
      </c>
    </row>
    <row r="156" spans="3:16" x14ac:dyDescent="0.5">
      <c r="C156">
        <v>38</v>
      </c>
      <c r="D156">
        <f t="shared" ca="1" si="12"/>
        <v>-11.708193161259574</v>
      </c>
      <c r="P156" s="77">
        <v>2587</v>
      </c>
    </row>
    <row r="157" spans="3:16" x14ac:dyDescent="0.5">
      <c r="C157">
        <v>39</v>
      </c>
      <c r="D157">
        <f t="shared" ca="1" si="12"/>
        <v>-11.702327482541174</v>
      </c>
      <c r="P157" s="77">
        <v>2548</v>
      </c>
    </row>
    <row r="158" spans="3:16" x14ac:dyDescent="0.5">
      <c r="C158">
        <v>40</v>
      </c>
      <c r="D158">
        <f t="shared" ca="1" si="12"/>
        <v>-10.739727323261917</v>
      </c>
      <c r="P158" s="77">
        <v>2562</v>
      </c>
    </row>
    <row r="159" spans="3:16" x14ac:dyDescent="0.5">
      <c r="C159">
        <v>41</v>
      </c>
      <c r="D159">
        <f t="shared" ca="1" si="12"/>
        <v>-11.61179926537247</v>
      </c>
      <c r="P159" s="77">
        <v>2564</v>
      </c>
    </row>
    <row r="160" spans="3:16" x14ac:dyDescent="0.5">
      <c r="C160">
        <v>42</v>
      </c>
      <c r="D160">
        <f t="shared" ca="1" si="12"/>
        <v>-10.22249726841952</v>
      </c>
      <c r="P160" s="77">
        <v>2505</v>
      </c>
    </row>
    <row r="161" spans="3:16" x14ac:dyDescent="0.5">
      <c r="C161">
        <v>43</v>
      </c>
      <c r="D161">
        <f t="shared" ca="1" si="12"/>
        <v>-9.0707984110572237</v>
      </c>
      <c r="P161" s="77">
        <v>2496</v>
      </c>
    </row>
    <row r="162" spans="3:16" x14ac:dyDescent="0.5">
      <c r="C162">
        <v>44</v>
      </c>
      <c r="D162">
        <f t="shared" ca="1" si="12"/>
        <v>-9.2179596057818802</v>
      </c>
      <c r="P162" s="77">
        <v>2448</v>
      </c>
    </row>
    <row r="163" spans="3:16" x14ac:dyDescent="0.5">
      <c r="C163">
        <v>45</v>
      </c>
      <c r="D163">
        <f t="shared" ca="1" si="12"/>
        <v>-8.9807550407230679</v>
      </c>
      <c r="P163" s="77">
        <v>2380</v>
      </c>
    </row>
    <row r="164" spans="3:16" x14ac:dyDescent="0.5">
      <c r="C164">
        <v>46</v>
      </c>
      <c r="D164">
        <f t="shared" ca="1" si="12"/>
        <v>-8.7579307923710861</v>
      </c>
      <c r="P164" s="77">
        <v>2360</v>
      </c>
    </row>
    <row r="165" spans="3:16" x14ac:dyDescent="0.5">
      <c r="C165">
        <v>47</v>
      </c>
      <c r="D165">
        <f t="shared" ca="1" si="12"/>
        <v>-8.5569523990402896</v>
      </c>
      <c r="P165" s="77">
        <v>2299</v>
      </c>
    </row>
    <row r="166" spans="3:16" x14ac:dyDescent="0.5">
      <c r="C166">
        <v>48</v>
      </c>
      <c r="D166">
        <f t="shared" ca="1" si="12"/>
        <v>-9.029046759162652</v>
      </c>
      <c r="P166" s="77">
        <v>2309</v>
      </c>
    </row>
    <row r="167" spans="3:16" x14ac:dyDescent="0.5">
      <c r="C167">
        <v>49</v>
      </c>
      <c r="D167">
        <f t="shared" ca="1" si="12"/>
        <v>-9.1799163633978083</v>
      </c>
      <c r="P167" s="77">
        <v>2375</v>
      </c>
    </row>
    <row r="168" spans="3:16" x14ac:dyDescent="0.5">
      <c r="C168">
        <v>50</v>
      </c>
      <c r="D168">
        <f t="shared" ca="1" si="12"/>
        <v>-8.5206235651373845</v>
      </c>
      <c r="P168" s="77">
        <v>2394</v>
      </c>
    </row>
    <row r="169" spans="3:16" x14ac:dyDescent="0.5">
      <c r="C169">
        <v>51</v>
      </c>
      <c r="D169">
        <f t="shared" ca="1" si="12"/>
        <v>-8.8972334652041916</v>
      </c>
      <c r="P169" s="77">
        <v>2430</v>
      </c>
    </row>
    <row r="170" spans="3:16" x14ac:dyDescent="0.5">
      <c r="C170">
        <v>52</v>
      </c>
      <c r="D170">
        <f t="shared" ca="1" si="12"/>
        <v>-8.8720588857048437</v>
      </c>
      <c r="P170" s="77">
        <v>2432</v>
      </c>
    </row>
    <row r="171" spans="3:16" x14ac:dyDescent="0.5">
      <c r="C171">
        <v>53</v>
      </c>
      <c r="D171">
        <f t="shared" ca="1" si="12"/>
        <v>-8.3223012459400358</v>
      </c>
      <c r="P171" s="77">
        <v>2450</v>
      </c>
    </row>
    <row r="172" spans="3:16" x14ac:dyDescent="0.5">
      <c r="C172">
        <v>54</v>
      </c>
      <c r="D172">
        <f t="shared" ca="1" si="12"/>
        <v>-9.0743003397554141</v>
      </c>
      <c r="P172" s="77">
        <v>2524</v>
      </c>
    </row>
    <row r="173" spans="3:16" x14ac:dyDescent="0.5">
      <c r="C173">
        <v>55</v>
      </c>
      <c r="D173">
        <f t="shared" ca="1" si="12"/>
        <v>-8.1621426997217164</v>
      </c>
      <c r="P173" s="77">
        <v>2513</v>
      </c>
    </row>
    <row r="174" spans="3:16" x14ac:dyDescent="0.5">
      <c r="C174">
        <v>56</v>
      </c>
      <c r="D174">
        <f t="shared" ca="1" si="12"/>
        <v>-8.0445621798257907</v>
      </c>
      <c r="P174" s="77">
        <v>2510</v>
      </c>
    </row>
    <row r="175" spans="3:16" x14ac:dyDescent="0.5">
      <c r="C175">
        <v>57</v>
      </c>
      <c r="D175">
        <f t="shared" ca="1" si="12"/>
        <v>-6.7873120115789911</v>
      </c>
      <c r="P175" s="77">
        <v>2445</v>
      </c>
    </row>
    <row r="176" spans="3:16" x14ac:dyDescent="0.5">
      <c r="C176">
        <v>58</v>
      </c>
      <c r="D176">
        <f t="shared" ca="1" si="12"/>
        <v>-8.764101321578357</v>
      </c>
      <c r="P176" s="77">
        <v>2485</v>
      </c>
    </row>
    <row r="177" spans="3:16" x14ac:dyDescent="0.5">
      <c r="C177">
        <v>59</v>
      </c>
      <c r="D177">
        <f t="shared" ca="1" si="12"/>
        <v>-7.7332636102102565</v>
      </c>
      <c r="P177" s="77">
        <v>2430</v>
      </c>
    </row>
    <row r="178" spans="3:16" x14ac:dyDescent="0.5">
      <c r="C178">
        <v>60</v>
      </c>
      <c r="D178">
        <f t="shared" ca="1" si="12"/>
        <v>-8.5179356233444743</v>
      </c>
      <c r="P178" s="77">
        <v>2430</v>
      </c>
    </row>
    <row r="179" spans="3:16" x14ac:dyDescent="0.5">
      <c r="C179">
        <v>61</v>
      </c>
      <c r="D179">
        <f t="shared" ca="1" si="12"/>
        <v>-7.5532596927165239</v>
      </c>
      <c r="P179" s="77">
        <v>2473</v>
      </c>
    </row>
    <row r="180" spans="3:16" x14ac:dyDescent="0.5">
      <c r="C180">
        <v>62</v>
      </c>
      <c r="D180">
        <f t="shared" ca="1" si="12"/>
        <v>-7.2074728000106747</v>
      </c>
      <c r="P180" s="77">
        <v>2390</v>
      </c>
    </row>
    <row r="181" spans="3:16" x14ac:dyDescent="0.5">
      <c r="C181">
        <v>63</v>
      </c>
      <c r="D181">
        <f t="shared" ca="1" si="12"/>
        <v>-6.9596622686122123</v>
      </c>
      <c r="P181" s="77">
        <v>2298</v>
      </c>
    </row>
    <row r="182" spans="3:16" x14ac:dyDescent="0.5">
      <c r="C182">
        <v>64</v>
      </c>
      <c r="D182">
        <f t="shared" ca="1" si="12"/>
        <v>-6.8761659126561572</v>
      </c>
      <c r="P182" s="77">
        <v>2231</v>
      </c>
    </row>
    <row r="183" spans="3:16" x14ac:dyDescent="0.5">
      <c r="C183">
        <v>65</v>
      </c>
      <c r="D183">
        <f t="shared" ca="1" si="12"/>
        <v>-8.4741380328080425</v>
      </c>
      <c r="P183" s="77">
        <v>2226</v>
      </c>
    </row>
    <row r="184" spans="3:16" x14ac:dyDescent="0.5">
      <c r="C184">
        <v>66</v>
      </c>
      <c r="D184">
        <f t="shared" ca="1" si="12"/>
        <v>-7.9521976263490544</v>
      </c>
      <c r="P184" s="77">
        <v>2240</v>
      </c>
    </row>
    <row r="185" spans="3:16" x14ac:dyDescent="0.5">
      <c r="C185">
        <v>67</v>
      </c>
      <c r="D185">
        <f t="shared" ca="1" si="12"/>
        <v>-8.3140619216345133</v>
      </c>
      <c r="P185" s="77">
        <v>2225</v>
      </c>
    </row>
    <row r="186" spans="3:16" x14ac:dyDescent="0.5">
      <c r="C186">
        <v>68</v>
      </c>
      <c r="D186">
        <f t="shared" ref="D186:D204" ca="1" si="13">D185+_xlfn.NORM.S.INV(RAND())</f>
        <v>-9.0844557573660758</v>
      </c>
      <c r="P186" s="77">
        <v>2198</v>
      </c>
    </row>
    <row r="187" spans="3:16" x14ac:dyDescent="0.5">
      <c r="C187">
        <v>69</v>
      </c>
      <c r="D187">
        <f t="shared" ca="1" si="13"/>
        <v>-9.8750573011248797</v>
      </c>
      <c r="P187" s="77">
        <v>2228</v>
      </c>
    </row>
    <row r="188" spans="3:16" x14ac:dyDescent="0.5">
      <c r="C188">
        <v>70</v>
      </c>
      <c r="D188">
        <f t="shared" ca="1" si="13"/>
        <v>-9.6593574389431627</v>
      </c>
      <c r="P188" s="77">
        <v>2195</v>
      </c>
    </row>
    <row r="189" spans="3:16" x14ac:dyDescent="0.5">
      <c r="C189">
        <v>71</v>
      </c>
      <c r="D189">
        <f t="shared" ca="1" si="13"/>
        <v>-8.4303455177468773</v>
      </c>
      <c r="P189" s="77">
        <v>2139</v>
      </c>
    </row>
    <row r="190" spans="3:16" x14ac:dyDescent="0.5">
      <c r="C190">
        <v>72</v>
      </c>
      <c r="D190">
        <f t="shared" ca="1" si="13"/>
        <v>-9.7977324159350374</v>
      </c>
      <c r="P190" s="77">
        <v>2310</v>
      </c>
    </row>
    <row r="191" spans="3:16" x14ac:dyDescent="0.5">
      <c r="C191">
        <v>73</v>
      </c>
      <c r="D191">
        <f t="shared" ca="1" si="13"/>
        <v>-8.5322476386450496</v>
      </c>
      <c r="P191" s="77">
        <v>2310</v>
      </c>
    </row>
    <row r="192" spans="3:16" x14ac:dyDescent="0.5">
      <c r="C192">
        <v>74</v>
      </c>
      <c r="D192">
        <f t="shared" ca="1" si="13"/>
        <v>-8.3147591444568452</v>
      </c>
      <c r="P192" s="77">
        <v>2370</v>
      </c>
    </row>
    <row r="193" spans="3:17" x14ac:dyDescent="0.5">
      <c r="C193">
        <v>75</v>
      </c>
      <c r="D193">
        <f t="shared" ca="1" si="13"/>
        <v>-8.9912435298926621</v>
      </c>
      <c r="P193" s="77">
        <v>2405</v>
      </c>
    </row>
    <row r="194" spans="3:17" x14ac:dyDescent="0.5">
      <c r="C194">
        <v>76</v>
      </c>
      <c r="D194">
        <f t="shared" ca="1" si="13"/>
        <v>-10.290893809037378</v>
      </c>
      <c r="P194" s="77">
        <v>2330</v>
      </c>
    </row>
    <row r="195" spans="3:17" x14ac:dyDescent="0.5">
      <c r="C195">
        <v>77</v>
      </c>
      <c r="D195">
        <f t="shared" ca="1" si="13"/>
        <v>-11.341714188824527</v>
      </c>
      <c r="P195" s="77">
        <v>2323</v>
      </c>
    </row>
    <row r="196" spans="3:17" x14ac:dyDescent="0.5">
      <c r="C196">
        <v>78</v>
      </c>
      <c r="D196">
        <f t="shared" ca="1" si="13"/>
        <v>-13.081336369965396</v>
      </c>
      <c r="P196" s="77">
        <v>2268</v>
      </c>
    </row>
    <row r="197" spans="3:17" x14ac:dyDescent="0.5">
      <c r="C197">
        <v>79</v>
      </c>
      <c r="D197">
        <f t="shared" ca="1" si="13"/>
        <v>-13.900346732374153</v>
      </c>
      <c r="P197" s="77">
        <v>2321</v>
      </c>
    </row>
    <row r="198" spans="3:17" x14ac:dyDescent="0.5">
      <c r="C198">
        <v>80</v>
      </c>
      <c r="D198">
        <f t="shared" ca="1" si="13"/>
        <v>-14.403047083861386</v>
      </c>
      <c r="P198" s="77">
        <v>2350</v>
      </c>
    </row>
    <row r="199" spans="3:17" x14ac:dyDescent="0.5">
      <c r="C199">
        <v>81</v>
      </c>
      <c r="D199">
        <f t="shared" ca="1" si="13"/>
        <v>-15.36624660486641</v>
      </c>
      <c r="P199" s="77">
        <v>2348</v>
      </c>
    </row>
    <row r="200" spans="3:17" x14ac:dyDescent="0.5">
      <c r="C200">
        <v>82</v>
      </c>
      <c r="D200">
        <f t="shared" ca="1" si="13"/>
        <v>-15.89440892493497</v>
      </c>
      <c r="P200" s="77">
        <v>2420</v>
      </c>
    </row>
    <row r="201" spans="3:17" x14ac:dyDescent="0.5">
      <c r="C201">
        <v>83</v>
      </c>
      <c r="D201">
        <f t="shared" ca="1" si="13"/>
        <v>-18.221902840520023</v>
      </c>
      <c r="P201" s="77">
        <v>2450</v>
      </c>
    </row>
    <row r="202" spans="3:17" x14ac:dyDescent="0.5">
      <c r="C202">
        <v>84</v>
      </c>
      <c r="D202">
        <f t="shared" ca="1" si="13"/>
        <v>-18.140330195829559</v>
      </c>
      <c r="P202" s="77">
        <v>2400</v>
      </c>
    </row>
    <row r="203" spans="3:17" x14ac:dyDescent="0.5">
      <c r="C203">
        <v>85</v>
      </c>
      <c r="D203">
        <f t="shared" ca="1" si="13"/>
        <v>-17.92009427915789</v>
      </c>
      <c r="P203" s="77">
        <v>2459</v>
      </c>
    </row>
    <row r="204" spans="3:17" x14ac:dyDescent="0.5">
      <c r="C204">
        <v>86</v>
      </c>
      <c r="D204">
        <f t="shared" ca="1" si="13"/>
        <v>-17.22841258112604</v>
      </c>
      <c r="P204" s="77">
        <v>2500</v>
      </c>
    </row>
    <row r="205" spans="3:17" x14ac:dyDescent="0.5">
      <c r="Q205" s="77">
        <v>2530</v>
      </c>
    </row>
    <row r="206" spans="3:17" x14ac:dyDescent="0.5">
      <c r="Q206" s="77">
        <v>2508</v>
      </c>
    </row>
    <row r="207" spans="3:17" x14ac:dyDescent="0.5">
      <c r="Q207" s="77">
        <v>2535</v>
      </c>
    </row>
    <row r="208" spans="3:17" x14ac:dyDescent="0.5">
      <c r="Q208" s="77">
        <v>2543</v>
      </c>
    </row>
    <row r="209" spans="17:17" x14ac:dyDescent="0.5">
      <c r="Q209" s="77">
        <v>2544</v>
      </c>
    </row>
    <row r="210" spans="17:17" x14ac:dyDescent="0.5">
      <c r="Q210" s="77">
        <v>2630</v>
      </c>
    </row>
    <row r="211" spans="17:17" x14ac:dyDescent="0.5">
      <c r="Q211" s="77">
        <v>2600</v>
      </c>
    </row>
    <row r="212" spans="17:17" x14ac:dyDescent="0.5">
      <c r="Q212" s="77">
        <v>2660</v>
      </c>
    </row>
    <row r="213" spans="17:17" x14ac:dyDescent="0.5">
      <c r="Q213" s="77">
        <v>2740</v>
      </c>
    </row>
    <row r="214" spans="17:17" x14ac:dyDescent="0.5">
      <c r="Q214" s="77">
        <v>2720</v>
      </c>
    </row>
    <row r="215" spans="17:17" x14ac:dyDescent="0.5">
      <c r="Q215" s="77">
        <v>2705</v>
      </c>
    </row>
    <row r="216" spans="17:17" x14ac:dyDescent="0.5">
      <c r="Q216" s="77">
        <v>2680</v>
      </c>
    </row>
    <row r="217" spans="17:17" x14ac:dyDescent="0.5">
      <c r="Q217" s="77">
        <v>2693</v>
      </c>
    </row>
    <row r="218" spans="17:17" x14ac:dyDescent="0.5">
      <c r="Q218" s="77">
        <v>2660</v>
      </c>
    </row>
    <row r="219" spans="17:17" x14ac:dyDescent="0.5">
      <c r="Q219" s="77">
        <v>2650</v>
      </c>
    </row>
    <row r="220" spans="17:17" x14ac:dyDescent="0.5">
      <c r="Q220" s="77">
        <v>2593</v>
      </c>
    </row>
    <row r="221" spans="17:17" x14ac:dyDescent="0.5">
      <c r="Q221" s="77">
        <v>2635</v>
      </c>
    </row>
    <row r="222" spans="17:17" x14ac:dyDescent="0.5">
      <c r="Q222" s="77">
        <v>2660</v>
      </c>
    </row>
    <row r="223" spans="17:17" x14ac:dyDescent="0.5">
      <c r="Q223" s="77">
        <v>2584</v>
      </c>
    </row>
    <row r="224" spans="17:17" x14ac:dyDescent="0.5">
      <c r="Q224" s="77">
        <v>2480</v>
      </c>
    </row>
    <row r="225" spans="17:17" x14ac:dyDescent="0.5">
      <c r="Q225" s="77">
        <v>2432</v>
      </c>
    </row>
    <row r="226" spans="17:17" x14ac:dyDescent="0.5">
      <c r="Q226" s="77">
        <v>2370</v>
      </c>
    </row>
    <row r="227" spans="17:17" x14ac:dyDescent="0.5">
      <c r="Q227" s="77">
        <v>2350</v>
      </c>
    </row>
    <row r="228" spans="17:17" x14ac:dyDescent="0.5">
      <c r="Q228" s="77">
        <v>2448</v>
      </c>
    </row>
    <row r="229" spans="17:17" x14ac:dyDescent="0.5">
      <c r="Q229" s="77">
        <v>2350</v>
      </c>
    </row>
    <row r="230" spans="17:17" x14ac:dyDescent="0.5">
      <c r="Q230" s="77">
        <v>2439</v>
      </c>
    </row>
    <row r="231" spans="17:17" x14ac:dyDescent="0.5">
      <c r="Q231" s="77">
        <v>2399</v>
      </c>
    </row>
    <row r="232" spans="17:17" x14ac:dyDescent="0.5">
      <c r="Q232" s="77">
        <v>2510</v>
      </c>
    </row>
    <row r="233" spans="17:17" x14ac:dyDescent="0.5">
      <c r="Q233" s="77">
        <v>2470</v>
      </c>
    </row>
    <row r="234" spans="17:17" x14ac:dyDescent="0.5">
      <c r="Q234" s="77">
        <v>2526</v>
      </c>
    </row>
    <row r="235" spans="17:17" x14ac:dyDescent="0.5">
      <c r="Q235" s="77">
        <v>2530</v>
      </c>
    </row>
    <row r="236" spans="17:17" x14ac:dyDescent="0.5">
      <c r="Q236" s="77">
        <v>2565</v>
      </c>
    </row>
    <row r="237" spans="17:17" x14ac:dyDescent="0.5">
      <c r="Q237" s="77">
        <v>2680</v>
      </c>
    </row>
    <row r="238" spans="17:17" x14ac:dyDescent="0.5">
      <c r="Q238" s="77">
        <v>2737</v>
      </c>
    </row>
    <row r="239" spans="17:17" x14ac:dyDescent="0.5">
      <c r="Q239" s="77">
        <v>2710</v>
      </c>
    </row>
    <row r="240" spans="17:17" x14ac:dyDescent="0.5">
      <c r="Q240" s="77">
        <v>2626</v>
      </c>
    </row>
    <row r="241" spans="17:17" x14ac:dyDescent="0.5">
      <c r="Q241" s="77">
        <v>2550</v>
      </c>
    </row>
    <row r="242" spans="17:17" x14ac:dyDescent="0.5">
      <c r="Q242" s="77">
        <v>2585</v>
      </c>
    </row>
    <row r="243" spans="17:17" x14ac:dyDescent="0.5">
      <c r="Q243" s="77">
        <v>2533</v>
      </c>
    </row>
    <row r="244" spans="17:17" x14ac:dyDescent="0.5">
      <c r="Q244" s="77">
        <v>2510</v>
      </c>
    </row>
    <row r="245" spans="17:17" x14ac:dyDescent="0.5">
      <c r="Q245" s="77">
        <v>2580</v>
      </c>
    </row>
    <row r="246" spans="17:17" x14ac:dyDescent="0.5">
      <c r="Q246" s="77">
        <v>2570</v>
      </c>
    </row>
    <row r="247" spans="17:17" x14ac:dyDescent="0.5">
      <c r="Q247" s="77">
        <v>2586</v>
      </c>
    </row>
    <row r="248" spans="17:17" x14ac:dyDescent="0.5">
      <c r="Q248" s="77">
        <v>2501</v>
      </c>
    </row>
    <row r="249" spans="17:17" x14ac:dyDescent="0.5">
      <c r="Q249" s="77">
        <v>2569</v>
      </c>
    </row>
    <row r="250" spans="17:17" x14ac:dyDescent="0.5">
      <c r="Q250" s="77">
        <v>2565</v>
      </c>
    </row>
    <row r="251" spans="17:17" x14ac:dyDescent="0.5">
      <c r="Q251" s="77">
        <v>2720</v>
      </c>
    </row>
    <row r="252" spans="17:17" x14ac:dyDescent="0.5">
      <c r="Q252" s="77">
        <v>2736</v>
      </c>
    </row>
    <row r="253" spans="17:17" x14ac:dyDescent="0.5">
      <c r="Q253" s="77">
        <v>2698</v>
      </c>
    </row>
  </sheetData>
  <conditionalFormatting sqref="D1:D91 D9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{A64AB7AF-069C-4982-84EC-9D7A5F0C0CF4}</x14:id>
        </ext>
      </extLst>
    </cfRule>
  </conditionalFormatting>
  <conditionalFormatting sqref="D1:D6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4AB7AF-069C-4982-84EC-9D7A5F0C0C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D1:D91 D93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9B67B-B2B8-4E06-8D93-C4663CD6E0EF}">
  <dimension ref="A1:W92"/>
  <sheetViews>
    <sheetView topLeftCell="I34" workbookViewId="0">
      <selection activeCell="K43" sqref="K43"/>
    </sheetView>
  </sheetViews>
  <sheetFormatPr defaultRowHeight="14.35" x14ac:dyDescent="0.5"/>
  <cols>
    <col min="1" max="1" width="16" customWidth="1"/>
    <col min="2" max="2" width="15.41015625" customWidth="1"/>
    <col min="3" max="3" width="19.1171875" customWidth="1"/>
    <col min="5" max="5" width="18.234375" customWidth="1"/>
    <col min="6" max="6" width="24.41015625" customWidth="1"/>
    <col min="7" max="7" width="21.3515625" customWidth="1"/>
    <col min="8" max="8" width="27.52734375" customWidth="1"/>
    <col min="9" max="9" width="20.41015625" customWidth="1"/>
    <col min="10" max="10" width="25.234375" customWidth="1"/>
    <col min="12" max="12" width="18.64453125" customWidth="1"/>
    <col min="14" max="14" width="22" customWidth="1"/>
    <col min="15" max="15" width="20.1171875" customWidth="1"/>
    <col min="16" max="16" width="39.41015625" customWidth="1"/>
    <col min="17" max="17" width="25.52734375" customWidth="1"/>
    <col min="18" max="18" width="21" customWidth="1"/>
    <col min="19" max="19" width="49.64453125" customWidth="1"/>
    <col min="20" max="20" width="12" bestFit="1" customWidth="1"/>
    <col min="21" max="21" width="13.41015625" customWidth="1"/>
    <col min="23" max="23" width="16.76171875" customWidth="1"/>
  </cols>
  <sheetData>
    <row r="1" spans="1:23" x14ac:dyDescent="0.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9</v>
      </c>
      <c r="G1" s="1" t="s">
        <v>4</v>
      </c>
      <c r="H1" s="1" t="s">
        <v>14</v>
      </c>
      <c r="I1" s="1" t="s">
        <v>5</v>
      </c>
      <c r="J1" s="1" t="s">
        <v>10</v>
      </c>
      <c r="L1" s="1" t="s">
        <v>6</v>
      </c>
      <c r="M1" s="1" t="s">
        <v>7</v>
      </c>
      <c r="N1" s="1" t="s">
        <v>8</v>
      </c>
      <c r="O1" s="1"/>
      <c r="P1" s="1" t="s">
        <v>11</v>
      </c>
      <c r="Q1" s="1" t="s">
        <v>12</v>
      </c>
      <c r="R1" s="1" t="s">
        <v>13</v>
      </c>
      <c r="S1" s="6"/>
      <c r="T1" s="7"/>
      <c r="U1" s="7"/>
      <c r="V1" s="7"/>
      <c r="W1" s="13"/>
    </row>
    <row r="2" spans="1:23" x14ac:dyDescent="0.5">
      <c r="A2" s="28">
        <v>0.35799999999999998</v>
      </c>
      <c r="B2" s="28">
        <v>0.23599999999999999</v>
      </c>
      <c r="C2" s="28">
        <v>0.17299999999999999</v>
      </c>
      <c r="D2" s="37"/>
      <c r="E2">
        <f>(A2/A3)-1</f>
        <v>2.2857142857142909E-2</v>
      </c>
      <c r="F2" s="13">
        <f>_xlfn.COVARIANCE.P(E2:E90,E2:E90)</f>
        <v>1.8195777235290858E-3</v>
      </c>
      <c r="G2">
        <f>(B2/B3)-1</f>
        <v>0</v>
      </c>
      <c r="H2" s="13">
        <f>_xlfn.COVARIANCE.P(G2:G90,G2:G90)</f>
        <v>1.4728948030453639E-3</v>
      </c>
      <c r="I2">
        <f>(C2/C3)-1</f>
        <v>0</v>
      </c>
      <c r="J2" s="13">
        <f>_xlfn.COVARIANCE.P(I2:I90,I2:I90)</f>
        <v>5.9045004433285159E-4</v>
      </c>
      <c r="L2" s="13">
        <f>_xlfn.COVARIANCE.P(E2:E90,G2:G90)</f>
        <v>-7.8308436728676291E-5</v>
      </c>
      <c r="M2" s="13">
        <f>_xlfn.COVARIANCE.P(E2:E90,I2:I90)</f>
        <v>8.038940007644454E-5</v>
      </c>
      <c r="N2" s="13">
        <f>_xlfn.COVARIANCE.P(G2:G90,I2:I90)</f>
        <v>-1.7915339604554883E-5</v>
      </c>
      <c r="P2" s="13">
        <f>AVERAGE(E2:E90)</f>
        <v>5.2103994942001557E-3</v>
      </c>
      <c r="Q2" s="13">
        <f>AVERAGE(G2:G90)</f>
        <v>6.2149378238851383E-3</v>
      </c>
      <c r="R2" s="13">
        <f>AVERAGE(I2:I90)</f>
        <v>1.6719547162923605E-3</v>
      </c>
      <c r="S2" s="7" t="s">
        <v>30</v>
      </c>
      <c r="T2" s="7">
        <v>0.93892976832761443</v>
      </c>
      <c r="U2" s="7"/>
      <c r="V2" s="7"/>
      <c r="W2" s="13"/>
    </row>
    <row r="3" spans="1:23" x14ac:dyDescent="0.5">
      <c r="A3" s="28">
        <v>0.35</v>
      </c>
      <c r="B3" s="28">
        <v>0.23599999999999999</v>
      </c>
      <c r="C3" s="28">
        <v>0.17299999999999999</v>
      </c>
      <c r="E3">
        <f t="shared" ref="E3:E66" si="0">(A3/A4)-1</f>
        <v>0</v>
      </c>
      <c r="G3">
        <f t="shared" ref="G3:G66" si="1">(B3/B4)-1</f>
        <v>0</v>
      </c>
      <c r="I3">
        <f t="shared" ref="I3:I66" si="2">(C3/C4)-1</f>
        <v>0</v>
      </c>
      <c r="S3" s="7" t="s">
        <v>31</v>
      </c>
      <c r="T3" s="7">
        <v>6.1070231672385622E-2</v>
      </c>
      <c r="U3" s="7"/>
      <c r="V3" s="7"/>
      <c r="W3" s="13"/>
    </row>
    <row r="4" spans="1:23" x14ac:dyDescent="0.5">
      <c r="A4" s="28">
        <v>0.35</v>
      </c>
      <c r="B4" s="28">
        <v>0.23599999999999999</v>
      </c>
      <c r="C4" s="28">
        <v>0.17299999999999999</v>
      </c>
      <c r="E4">
        <f t="shared" si="0"/>
        <v>-3.3149171270718258E-2</v>
      </c>
      <c r="G4">
        <f t="shared" si="1"/>
        <v>-5.600000000000005E-2</v>
      </c>
      <c r="I4">
        <f t="shared" si="2"/>
        <v>0</v>
      </c>
      <c r="S4" s="7" t="s">
        <v>32</v>
      </c>
      <c r="T4" s="7"/>
      <c r="U4" s="7"/>
      <c r="V4" s="7"/>
    </row>
    <row r="5" spans="1:23" x14ac:dyDescent="0.5">
      <c r="A5" s="28">
        <v>0.36199999999999999</v>
      </c>
      <c r="B5" s="28">
        <v>0.25</v>
      </c>
      <c r="C5" s="28">
        <v>0.17299999999999999</v>
      </c>
      <c r="E5">
        <f t="shared" si="0"/>
        <v>5.5555555555555358E-3</v>
      </c>
      <c r="G5">
        <f t="shared" si="1"/>
        <v>-9.4202898550724723E-2</v>
      </c>
      <c r="I5">
        <f t="shared" si="2"/>
        <v>0</v>
      </c>
      <c r="S5" s="7"/>
      <c r="T5" s="7"/>
      <c r="U5" s="7"/>
      <c r="V5" s="7"/>
    </row>
    <row r="6" spans="1:23" x14ac:dyDescent="0.5">
      <c r="A6" s="28">
        <v>0.36</v>
      </c>
      <c r="B6" s="28">
        <v>0.27600000000000002</v>
      </c>
      <c r="C6" s="28">
        <v>0.17299999999999999</v>
      </c>
      <c r="E6">
        <f t="shared" si="0"/>
        <v>0</v>
      </c>
      <c r="G6">
        <f t="shared" si="1"/>
        <v>0</v>
      </c>
      <c r="I6">
        <f t="shared" si="2"/>
        <v>-3.8888888888888973E-2</v>
      </c>
      <c r="S6" s="7"/>
      <c r="T6" s="7"/>
      <c r="U6" s="7"/>
      <c r="V6" s="7"/>
    </row>
    <row r="7" spans="1:23" x14ac:dyDescent="0.5">
      <c r="A7" s="28">
        <v>0.36</v>
      </c>
      <c r="B7" s="28">
        <v>0.27600000000000002</v>
      </c>
      <c r="C7" s="28">
        <v>0.18</v>
      </c>
      <c r="E7">
        <f t="shared" si="0"/>
        <v>0</v>
      </c>
      <c r="G7">
        <f t="shared" si="1"/>
        <v>0</v>
      </c>
      <c r="I7">
        <f t="shared" si="2"/>
        <v>-9.0909090909090939E-2</v>
      </c>
      <c r="S7" s="7" t="s">
        <v>66</v>
      </c>
      <c r="T7" s="7">
        <f>T2*P2+T3*Q2</f>
        <v>5.2717468827178093E-3</v>
      </c>
      <c r="U7" s="7"/>
      <c r="V7" s="7"/>
    </row>
    <row r="8" spans="1:23" x14ac:dyDescent="0.5">
      <c r="A8" s="28">
        <v>0.36</v>
      </c>
      <c r="B8" s="28">
        <v>0.27600000000000002</v>
      </c>
      <c r="C8" s="28">
        <v>0.19800000000000001</v>
      </c>
      <c r="E8">
        <f t="shared" si="0"/>
        <v>2.8571428571428692E-2</v>
      </c>
      <c r="G8">
        <f t="shared" si="1"/>
        <v>0</v>
      </c>
      <c r="I8">
        <f t="shared" si="2"/>
        <v>0</v>
      </c>
      <c r="S8" s="7"/>
      <c r="T8" s="7"/>
      <c r="U8" s="7"/>
      <c r="V8" s="7"/>
    </row>
    <row r="9" spans="1:23" x14ac:dyDescent="0.5">
      <c r="A9" s="28">
        <v>0.35</v>
      </c>
      <c r="B9" s="28">
        <v>0.27600000000000002</v>
      </c>
      <c r="C9" s="28">
        <v>0.19800000000000001</v>
      </c>
      <c r="E9">
        <f t="shared" si="0"/>
        <v>-5.4054054054054057E-2</v>
      </c>
      <c r="G9">
        <f t="shared" si="1"/>
        <v>0</v>
      </c>
      <c r="I9">
        <f t="shared" si="2"/>
        <v>0</v>
      </c>
      <c r="P9" s="2" t="s">
        <v>19</v>
      </c>
      <c r="Q9" s="5">
        <v>1500</v>
      </c>
      <c r="S9" s="7"/>
      <c r="T9" s="7"/>
      <c r="U9" s="7"/>
      <c r="V9" s="7"/>
    </row>
    <row r="10" spans="1:23" x14ac:dyDescent="0.5">
      <c r="A10" s="28">
        <v>0.37</v>
      </c>
      <c r="B10" s="28">
        <v>0.27600000000000002</v>
      </c>
      <c r="C10" s="28">
        <v>0.19800000000000001</v>
      </c>
      <c r="E10">
        <f t="shared" si="0"/>
        <v>-2.1164021164021163E-2</v>
      </c>
      <c r="G10">
        <f t="shared" si="1"/>
        <v>0</v>
      </c>
      <c r="I10">
        <f t="shared" si="2"/>
        <v>0</v>
      </c>
      <c r="P10" s="3"/>
      <c r="Q10" s="3"/>
      <c r="R10" s="15" t="s">
        <v>25</v>
      </c>
      <c r="S10" s="7"/>
      <c r="T10" s="7">
        <f>T2+T3</f>
        <v>1</v>
      </c>
      <c r="U10" s="7"/>
      <c r="V10" s="7">
        <v>1</v>
      </c>
    </row>
    <row r="11" spans="1:23" ht="14.7" thickBot="1" x14ac:dyDescent="0.55000000000000004">
      <c r="A11" s="28">
        <v>0.378</v>
      </c>
      <c r="B11" s="28">
        <v>0.27600000000000002</v>
      </c>
      <c r="C11" s="28">
        <v>0.19800000000000001</v>
      </c>
      <c r="E11">
        <f t="shared" si="0"/>
        <v>-2.5773195876288679E-2</v>
      </c>
      <c r="G11">
        <f t="shared" si="1"/>
        <v>7.2992700729928028E-3</v>
      </c>
      <c r="I11">
        <f t="shared" si="2"/>
        <v>-9.1743119266055051E-2</v>
      </c>
      <c r="P11" s="10" t="s">
        <v>20</v>
      </c>
      <c r="Q11" s="11">
        <f>T2*Q9</f>
        <v>1408.3946524914215</v>
      </c>
      <c r="R11" s="14">
        <f>Q11/A2</f>
        <v>3934.0632751157027</v>
      </c>
      <c r="S11" s="7"/>
      <c r="T11" s="7">
        <f>F2*T2^2+H2*T3^2+2*L2*T2*T3</f>
        <v>1.6006326599183303E-3</v>
      </c>
      <c r="U11" s="7"/>
      <c r="V11" s="7">
        <f>L41</f>
        <v>1.6000000000000001E-3</v>
      </c>
    </row>
    <row r="12" spans="1:23" ht="14.7" thickBot="1" x14ac:dyDescent="0.55000000000000004">
      <c r="A12" s="28">
        <v>0.38800000000000001</v>
      </c>
      <c r="B12" s="28">
        <v>0.27400000000000002</v>
      </c>
      <c r="C12" s="28">
        <v>0.218</v>
      </c>
      <c r="E12">
        <f t="shared" si="0"/>
        <v>0</v>
      </c>
      <c r="G12">
        <f t="shared" si="1"/>
        <v>0</v>
      </c>
      <c r="I12">
        <f t="shared" si="2"/>
        <v>0</v>
      </c>
      <c r="P12" s="12" t="s">
        <v>21</v>
      </c>
      <c r="Q12" s="12">
        <f>Q9*T3</f>
        <v>91.605347508578433</v>
      </c>
      <c r="R12" s="14">
        <f>Q12/B2</f>
        <v>388.15825215499336</v>
      </c>
    </row>
    <row r="13" spans="1:23" ht="14.7" thickBot="1" x14ac:dyDescent="0.55000000000000004">
      <c r="A13" s="28">
        <v>0.38800000000000001</v>
      </c>
      <c r="B13" s="28">
        <v>0.27400000000000002</v>
      </c>
      <c r="C13" s="28">
        <v>0.218</v>
      </c>
      <c r="E13">
        <f t="shared" si="0"/>
        <v>1.0416666666666741E-2</v>
      </c>
      <c r="G13">
        <f t="shared" si="1"/>
        <v>0</v>
      </c>
      <c r="I13">
        <f t="shared" si="2"/>
        <v>0</v>
      </c>
      <c r="P13" s="4" t="s">
        <v>22</v>
      </c>
      <c r="Q13" s="3">
        <f>Q9*T4</f>
        <v>0</v>
      </c>
      <c r="R13" s="14">
        <f>Q13/C2</f>
        <v>0</v>
      </c>
    </row>
    <row r="14" spans="1:23" ht="14.7" thickBot="1" x14ac:dyDescent="0.55000000000000004">
      <c r="A14" s="28">
        <v>0.38400000000000001</v>
      </c>
      <c r="B14" s="28">
        <v>0.27400000000000002</v>
      </c>
      <c r="C14" s="28">
        <v>0.218</v>
      </c>
      <c r="E14">
        <f t="shared" si="0"/>
        <v>-2.5380710659898553E-2</v>
      </c>
      <c r="G14">
        <f t="shared" si="1"/>
        <v>0</v>
      </c>
      <c r="I14">
        <f t="shared" si="2"/>
        <v>0</v>
      </c>
      <c r="P14" s="8" t="s">
        <v>23</v>
      </c>
      <c r="Q14" s="9">
        <f>Q11+Q12+Q13</f>
        <v>1500</v>
      </c>
    </row>
    <row r="15" spans="1:23" x14ac:dyDescent="0.5">
      <c r="A15" s="28">
        <v>0.39400000000000002</v>
      </c>
      <c r="B15" s="28">
        <v>0.27400000000000002</v>
      </c>
      <c r="C15" s="28">
        <v>0.218</v>
      </c>
      <c r="E15">
        <f t="shared" si="0"/>
        <v>0</v>
      </c>
      <c r="G15">
        <f t="shared" si="1"/>
        <v>0</v>
      </c>
      <c r="I15">
        <f t="shared" si="2"/>
        <v>0</v>
      </c>
    </row>
    <row r="16" spans="1:23" x14ac:dyDescent="0.5">
      <c r="A16" s="28">
        <v>0.39400000000000002</v>
      </c>
      <c r="B16" s="28">
        <v>0.27400000000000002</v>
      </c>
      <c r="C16" s="28">
        <v>0.218</v>
      </c>
      <c r="E16">
        <f t="shared" si="0"/>
        <v>3.6842105263158009E-2</v>
      </c>
      <c r="G16">
        <f t="shared" si="1"/>
        <v>0</v>
      </c>
      <c r="I16">
        <f t="shared" si="2"/>
        <v>0</v>
      </c>
    </row>
    <row r="17" spans="1:23" x14ac:dyDescent="0.5">
      <c r="A17" s="28">
        <v>0.38</v>
      </c>
      <c r="B17" s="28">
        <v>0.27400000000000002</v>
      </c>
      <c r="C17" s="28">
        <v>0.218</v>
      </c>
      <c r="E17">
        <f t="shared" si="0"/>
        <v>0</v>
      </c>
      <c r="G17">
        <f t="shared" si="1"/>
        <v>-3.5211267605633645E-2</v>
      </c>
      <c r="I17">
        <f t="shared" si="2"/>
        <v>0</v>
      </c>
      <c r="Q17" s="16" t="s">
        <v>27</v>
      </c>
      <c r="R17" s="16">
        <v>2.2799999999999998</v>
      </c>
    </row>
    <row r="18" spans="1:23" x14ac:dyDescent="0.5">
      <c r="A18" s="28">
        <v>0.38</v>
      </c>
      <c r="B18" s="28">
        <v>0.28399999999999997</v>
      </c>
      <c r="C18" s="28">
        <v>0.218</v>
      </c>
      <c r="E18">
        <f t="shared" si="0"/>
        <v>0</v>
      </c>
      <c r="G18">
        <f t="shared" si="1"/>
        <v>0</v>
      </c>
      <c r="I18">
        <f t="shared" si="2"/>
        <v>0</v>
      </c>
      <c r="L18" s="13"/>
      <c r="M18" s="13"/>
      <c r="Q18" s="16" t="s">
        <v>28</v>
      </c>
      <c r="R18" s="16">
        <v>0.64400000000000002</v>
      </c>
    </row>
    <row r="19" spans="1:23" ht="14.7" thickBot="1" x14ac:dyDescent="0.55000000000000004">
      <c r="A19" s="28">
        <v>0.38</v>
      </c>
      <c r="B19" s="28">
        <v>0.28399999999999997</v>
      </c>
      <c r="C19" s="28">
        <v>0.218</v>
      </c>
      <c r="E19">
        <f t="shared" si="0"/>
        <v>0</v>
      </c>
      <c r="G19">
        <f t="shared" si="1"/>
        <v>0</v>
      </c>
      <c r="I19">
        <f t="shared" si="2"/>
        <v>0</v>
      </c>
      <c r="L19" s="13"/>
      <c r="M19" s="13"/>
      <c r="Q19" s="16" t="s">
        <v>29</v>
      </c>
      <c r="R19" s="16">
        <v>0.42799999999999999</v>
      </c>
    </row>
    <row r="20" spans="1:23" ht="14.7" thickBot="1" x14ac:dyDescent="0.55000000000000004">
      <c r="A20" s="28">
        <v>0.38</v>
      </c>
      <c r="B20" s="28">
        <v>0.28399999999999997</v>
      </c>
      <c r="C20" s="28">
        <v>0.218</v>
      </c>
      <c r="E20">
        <f t="shared" si="0"/>
        <v>3.2608695652173836E-2</v>
      </c>
      <c r="G20">
        <f t="shared" si="1"/>
        <v>0</v>
      </c>
      <c r="I20">
        <f t="shared" si="2"/>
        <v>0</v>
      </c>
      <c r="L20" s="13"/>
      <c r="M20" s="13"/>
      <c r="Q20" s="17" t="s">
        <v>26</v>
      </c>
      <c r="R20" s="17">
        <f>R11*$R$17+R12*$R$18+R13*$R$19</f>
        <v>9219.6381816516168</v>
      </c>
    </row>
    <row r="21" spans="1:23" x14ac:dyDescent="0.5">
      <c r="A21" s="28">
        <v>0.36799999999999999</v>
      </c>
      <c r="B21" s="28">
        <v>0.28399999999999997</v>
      </c>
      <c r="C21" s="28">
        <v>0.218</v>
      </c>
      <c r="E21">
        <f t="shared" si="0"/>
        <v>2.7932960893854775E-2</v>
      </c>
      <c r="G21">
        <f t="shared" si="1"/>
        <v>0</v>
      </c>
      <c r="I21">
        <f t="shared" si="2"/>
        <v>0</v>
      </c>
    </row>
    <row r="22" spans="1:23" x14ac:dyDescent="0.5">
      <c r="A22" s="28">
        <v>0.35799999999999998</v>
      </c>
      <c r="B22" s="28">
        <v>0.28399999999999997</v>
      </c>
      <c r="C22" s="28">
        <v>0.218</v>
      </c>
      <c r="E22">
        <f t="shared" si="0"/>
        <v>0</v>
      </c>
      <c r="G22">
        <f t="shared" si="1"/>
        <v>0</v>
      </c>
      <c r="I22">
        <f t="shared" si="2"/>
        <v>0</v>
      </c>
      <c r="K22" s="18"/>
      <c r="L22" s="20" t="s">
        <v>33</v>
      </c>
      <c r="M22" s="18"/>
      <c r="N22" s="18"/>
    </row>
    <row r="23" spans="1:23" ht="14.7" thickBot="1" x14ac:dyDescent="0.55000000000000004">
      <c r="A23" s="28">
        <v>0.35799999999999998</v>
      </c>
      <c r="B23" s="28">
        <v>0.28399999999999997</v>
      </c>
      <c r="C23" s="28">
        <v>0.218</v>
      </c>
      <c r="E23">
        <f t="shared" si="0"/>
        <v>-1.1049723756906049E-2</v>
      </c>
      <c r="G23">
        <f t="shared" si="1"/>
        <v>0</v>
      </c>
      <c r="I23">
        <f t="shared" si="2"/>
        <v>0</v>
      </c>
      <c r="K23" s="18"/>
      <c r="L23" s="18" t="s">
        <v>34</v>
      </c>
      <c r="M23" s="18" t="s">
        <v>35</v>
      </c>
      <c r="N23" s="18" t="s">
        <v>36</v>
      </c>
    </row>
    <row r="24" spans="1:23" ht="14.7" thickBot="1" x14ac:dyDescent="0.55000000000000004">
      <c r="A24" s="28">
        <v>0.36199999999999999</v>
      </c>
      <c r="B24" s="28">
        <v>0.28399999999999997</v>
      </c>
      <c r="C24" s="28">
        <v>0.218</v>
      </c>
      <c r="E24">
        <f t="shared" si="0"/>
        <v>5.5555555555555358E-3</v>
      </c>
      <c r="G24">
        <f t="shared" si="1"/>
        <v>0</v>
      </c>
      <c r="I24">
        <f t="shared" si="2"/>
        <v>0</v>
      </c>
      <c r="K24" s="18" t="s">
        <v>34</v>
      </c>
      <c r="L24" s="32">
        <f>F2</f>
        <v>1.8195777235290858E-3</v>
      </c>
      <c r="M24" s="33">
        <f>L2</f>
        <v>-7.8308436728676291E-5</v>
      </c>
      <c r="N24" s="31">
        <f>M2</f>
        <v>8.038940007644454E-5</v>
      </c>
    </row>
    <row r="25" spans="1:23" ht="14.7" thickBot="1" x14ac:dyDescent="0.55000000000000004">
      <c r="A25" s="28">
        <v>0.36</v>
      </c>
      <c r="B25" s="28">
        <v>0.28399999999999997</v>
      </c>
      <c r="C25" s="28">
        <v>0.218</v>
      </c>
      <c r="E25">
        <f t="shared" si="0"/>
        <v>-4.7619047619047672E-2</v>
      </c>
      <c r="G25">
        <f t="shared" si="1"/>
        <v>9.2307692307692202E-2</v>
      </c>
      <c r="I25">
        <f t="shared" si="2"/>
        <v>0</v>
      </c>
      <c r="K25" s="18" t="s">
        <v>35</v>
      </c>
      <c r="L25" s="32">
        <f>L2</f>
        <v>-7.8308436728676291E-5</v>
      </c>
      <c r="M25" s="33">
        <f>H2</f>
        <v>1.4728948030453639E-3</v>
      </c>
      <c r="N25" s="31">
        <f>N2</f>
        <v>-1.7915339604554883E-5</v>
      </c>
    </row>
    <row r="26" spans="1:23" ht="14.7" thickBot="1" x14ac:dyDescent="0.55000000000000004">
      <c r="A26" s="28">
        <v>0.378</v>
      </c>
      <c r="B26" s="28">
        <v>0.26</v>
      </c>
      <c r="C26" s="28">
        <v>0.218</v>
      </c>
      <c r="E26">
        <f t="shared" si="0"/>
        <v>5.0000000000000044E-2</v>
      </c>
      <c r="G26">
        <f t="shared" si="1"/>
        <v>4.0000000000000036E-2</v>
      </c>
      <c r="I26">
        <f t="shared" si="2"/>
        <v>0</v>
      </c>
      <c r="K26" s="18" t="s">
        <v>36</v>
      </c>
      <c r="L26" s="32">
        <f>M2</f>
        <v>8.038940007644454E-5</v>
      </c>
      <c r="M26" s="33">
        <f>N2</f>
        <v>-1.7915339604554883E-5</v>
      </c>
      <c r="N26" s="19">
        <f>J2</f>
        <v>5.9045004433285159E-4</v>
      </c>
    </row>
    <row r="27" spans="1:23" x14ac:dyDescent="0.5">
      <c r="A27" s="28">
        <v>0.36</v>
      </c>
      <c r="B27" s="28">
        <v>0.25</v>
      </c>
      <c r="C27" s="28">
        <v>0.218</v>
      </c>
      <c r="E27">
        <f t="shared" si="0"/>
        <v>-2.1739130434782594E-2</v>
      </c>
      <c r="G27">
        <f t="shared" si="1"/>
        <v>-9.4202898550724723E-2</v>
      </c>
      <c r="I27">
        <f t="shared" si="2"/>
        <v>0</v>
      </c>
      <c r="K27" s="21" t="s">
        <v>40</v>
      </c>
      <c r="L27" s="22"/>
      <c r="M27" s="22"/>
      <c r="N27" s="22"/>
      <c r="Q27" s="39" t="s">
        <v>49</v>
      </c>
      <c r="R27" s="40"/>
      <c r="S27" s="40"/>
      <c r="T27" s="40"/>
      <c r="U27" s="40"/>
      <c r="V27" s="40"/>
      <c r="W27" s="40"/>
    </row>
    <row r="28" spans="1:23" x14ac:dyDescent="0.5">
      <c r="A28" s="28">
        <v>0.36799999999999999</v>
      </c>
      <c r="B28" s="28">
        <v>0.27600000000000002</v>
      </c>
      <c r="C28" s="28">
        <v>0.218</v>
      </c>
      <c r="E28">
        <f t="shared" si="0"/>
        <v>2.7932960893854775E-2</v>
      </c>
      <c r="G28">
        <f t="shared" si="1"/>
        <v>-7.3825503355704591E-2</v>
      </c>
      <c r="I28">
        <f t="shared" si="2"/>
        <v>0</v>
      </c>
      <c r="K28" s="23" t="s">
        <v>37</v>
      </c>
      <c r="L28" s="22">
        <f>P2</f>
        <v>5.2103994942001557E-3</v>
      </c>
      <c r="M28" s="22"/>
      <c r="N28" s="22"/>
      <c r="Q28" s="40" t="s">
        <v>56</v>
      </c>
      <c r="R28" s="40"/>
      <c r="S28" s="40"/>
      <c r="T28" s="40"/>
      <c r="U28" s="40"/>
      <c r="V28" s="40"/>
      <c r="W28" s="40"/>
    </row>
    <row r="29" spans="1:23" x14ac:dyDescent="0.5">
      <c r="A29" s="28">
        <v>0.35799999999999998</v>
      </c>
      <c r="B29" s="28">
        <v>0.29799999999999999</v>
      </c>
      <c r="C29" s="28">
        <v>0.218</v>
      </c>
      <c r="E29">
        <f t="shared" si="0"/>
        <v>-5.7894736842105332E-2</v>
      </c>
      <c r="G29">
        <f t="shared" si="1"/>
        <v>0</v>
      </c>
      <c r="I29">
        <f t="shared" si="2"/>
        <v>0</v>
      </c>
      <c r="K29" s="23" t="s">
        <v>38</v>
      </c>
      <c r="L29" s="22">
        <f>Q2</f>
        <v>6.2149378238851383E-3</v>
      </c>
      <c r="M29" s="22"/>
      <c r="N29" s="22"/>
      <c r="Q29" s="40" t="s">
        <v>50</v>
      </c>
      <c r="R29" s="40"/>
      <c r="S29" s="40"/>
      <c r="T29" s="40"/>
      <c r="U29" s="40"/>
      <c r="V29" s="40"/>
      <c r="W29" s="40"/>
    </row>
    <row r="30" spans="1:23" x14ac:dyDescent="0.5">
      <c r="A30" s="28">
        <v>0.38</v>
      </c>
      <c r="B30" s="28">
        <v>0.29799999999999999</v>
      </c>
      <c r="C30" s="28">
        <v>0.218</v>
      </c>
      <c r="E30">
        <f t="shared" si="0"/>
        <v>3.2608695652173836E-2</v>
      </c>
      <c r="G30">
        <f t="shared" si="1"/>
        <v>0</v>
      </c>
      <c r="I30">
        <f t="shared" si="2"/>
        <v>0</v>
      </c>
      <c r="K30" s="23" t="s">
        <v>39</v>
      </c>
      <c r="L30" s="22">
        <f>R2</f>
        <v>1.6719547162923605E-3</v>
      </c>
      <c r="M30" s="22"/>
      <c r="N30" s="22"/>
      <c r="Q30" s="40" t="s">
        <v>51</v>
      </c>
      <c r="R30" s="40"/>
      <c r="S30" s="40"/>
      <c r="T30" s="40"/>
      <c r="U30" s="40"/>
      <c r="V30" s="40"/>
      <c r="W30" s="40"/>
    </row>
    <row r="31" spans="1:23" x14ac:dyDescent="0.5">
      <c r="A31" s="28">
        <v>0.36799999999999999</v>
      </c>
      <c r="B31" s="28">
        <v>0.29799999999999999</v>
      </c>
      <c r="C31" s="28">
        <v>0.218</v>
      </c>
      <c r="E31">
        <f t="shared" si="0"/>
        <v>5.464480874316946E-3</v>
      </c>
      <c r="G31">
        <f t="shared" si="1"/>
        <v>4.1958041958042092E-2</v>
      </c>
      <c r="I31">
        <f t="shared" si="2"/>
        <v>0</v>
      </c>
      <c r="K31" s="24" t="s">
        <v>41</v>
      </c>
      <c r="L31" s="25"/>
      <c r="M31" s="25"/>
      <c r="N31" s="25"/>
      <c r="Q31" s="40" t="s">
        <v>52</v>
      </c>
      <c r="R31" s="40"/>
      <c r="S31" s="40"/>
      <c r="T31" s="40"/>
      <c r="U31" s="40"/>
      <c r="V31" s="40"/>
      <c r="W31" s="40"/>
    </row>
    <row r="32" spans="1:23" x14ac:dyDescent="0.5">
      <c r="A32" s="28">
        <v>0.36599999999999999</v>
      </c>
      <c r="B32" s="28">
        <v>0.28599999999999998</v>
      </c>
      <c r="C32" s="28">
        <v>0.218</v>
      </c>
      <c r="E32">
        <f t="shared" si="0"/>
        <v>1.6666666666666607E-2</v>
      </c>
      <c r="G32">
        <f t="shared" si="1"/>
        <v>0</v>
      </c>
      <c r="I32">
        <f t="shared" si="2"/>
        <v>0</v>
      </c>
      <c r="K32" s="26" t="s">
        <v>30</v>
      </c>
      <c r="L32" s="25">
        <f>T2</f>
        <v>0.93892976832761443</v>
      </c>
      <c r="M32" s="25"/>
      <c r="N32" s="25"/>
      <c r="Q32" s="40" t="s">
        <v>55</v>
      </c>
      <c r="R32" s="40"/>
      <c r="S32" s="40"/>
      <c r="T32" s="40"/>
      <c r="U32" s="40"/>
      <c r="V32" s="40"/>
      <c r="W32" s="40"/>
    </row>
    <row r="33" spans="1:23" x14ac:dyDescent="0.5">
      <c r="A33" s="28">
        <v>0.36</v>
      </c>
      <c r="B33" s="28">
        <v>0.28599999999999998</v>
      </c>
      <c r="C33" s="28">
        <v>0.218</v>
      </c>
      <c r="E33">
        <f t="shared" si="0"/>
        <v>6.5088757396449592E-2</v>
      </c>
      <c r="G33">
        <f t="shared" si="1"/>
        <v>0</v>
      </c>
      <c r="I33">
        <f t="shared" si="2"/>
        <v>0</v>
      </c>
      <c r="K33" s="26" t="s">
        <v>31</v>
      </c>
      <c r="L33" s="25">
        <f>T3</f>
        <v>6.1070231672385622E-2</v>
      </c>
      <c r="M33" s="25"/>
      <c r="N33" s="25"/>
      <c r="Q33" s="40" t="s">
        <v>57</v>
      </c>
      <c r="R33" s="40"/>
      <c r="S33" s="40"/>
      <c r="T33" s="40"/>
      <c r="U33" s="40"/>
      <c r="V33" s="40"/>
      <c r="W33" s="40"/>
    </row>
    <row r="34" spans="1:23" x14ac:dyDescent="0.5">
      <c r="A34" s="28">
        <v>0.33800000000000002</v>
      </c>
      <c r="B34" s="28">
        <v>0.28599999999999998</v>
      </c>
      <c r="C34" s="28">
        <v>0.218</v>
      </c>
      <c r="E34">
        <f t="shared" si="0"/>
        <v>-1.1695906432748537E-2</v>
      </c>
      <c r="G34">
        <f t="shared" si="1"/>
        <v>0</v>
      </c>
      <c r="I34">
        <f t="shared" si="2"/>
        <v>0</v>
      </c>
      <c r="K34" s="26"/>
      <c r="L34" s="25"/>
      <c r="M34" s="25"/>
      <c r="N34" s="25"/>
      <c r="Q34" s="40" t="s">
        <v>68</v>
      </c>
      <c r="R34" s="40"/>
      <c r="S34" s="40"/>
      <c r="T34" s="40"/>
      <c r="U34" s="40"/>
      <c r="V34" s="40"/>
      <c r="W34" s="40"/>
    </row>
    <row r="35" spans="1:23" x14ac:dyDescent="0.5">
      <c r="A35" s="28">
        <v>0.34200000000000003</v>
      </c>
      <c r="B35" s="28">
        <v>0.28599999999999998</v>
      </c>
      <c r="C35" s="28">
        <v>0.218</v>
      </c>
      <c r="E35">
        <f t="shared" si="0"/>
        <v>5.8823529411764497E-3</v>
      </c>
      <c r="G35">
        <f t="shared" si="1"/>
        <v>-5.2980132450331174E-2</v>
      </c>
      <c r="I35">
        <f t="shared" si="2"/>
        <v>0</v>
      </c>
      <c r="K35" s="38" t="s">
        <v>45</v>
      </c>
      <c r="L35" s="29"/>
      <c r="M35" s="29"/>
      <c r="N35" s="29"/>
      <c r="Q35" s="40" t="s">
        <v>70</v>
      </c>
      <c r="R35" s="40"/>
      <c r="S35" s="40"/>
      <c r="T35" s="40"/>
      <c r="U35" s="40"/>
      <c r="V35" s="40"/>
      <c r="W35" s="40"/>
    </row>
    <row r="36" spans="1:23" x14ac:dyDescent="0.5">
      <c r="A36" s="28">
        <v>0.34</v>
      </c>
      <c r="B36" s="28">
        <v>0.30199999999999999</v>
      </c>
      <c r="C36" s="28">
        <v>0.218</v>
      </c>
      <c r="E36">
        <f t="shared" si="0"/>
        <v>0</v>
      </c>
      <c r="G36">
        <f t="shared" si="1"/>
        <v>7.0921985815602939E-2</v>
      </c>
      <c r="I36">
        <f t="shared" si="2"/>
        <v>0</v>
      </c>
      <c r="K36" s="30" t="s">
        <v>43</v>
      </c>
      <c r="L36" s="29">
        <f>1+AVERAGEIF(E2:E90,"&gt;=0")</f>
        <v>1.0223159494071694</v>
      </c>
      <c r="M36" s="29">
        <f>1+AVERAGEIF(G2:G90,"&gt;=0")</f>
        <v>1.0139802391314463</v>
      </c>
      <c r="N36" s="29">
        <f>1+AVERAGEIF(I2:I90,"&gt;=0")</f>
        <v>1.0043063380094657</v>
      </c>
      <c r="Q36" s="40" t="s">
        <v>54</v>
      </c>
      <c r="R36" s="40"/>
      <c r="S36" s="40"/>
      <c r="T36" s="40"/>
      <c r="U36" s="40"/>
      <c r="V36" s="40"/>
      <c r="W36" s="40"/>
    </row>
    <row r="37" spans="1:23" x14ac:dyDescent="0.5">
      <c r="A37" s="28">
        <v>0.34</v>
      </c>
      <c r="B37" s="28">
        <v>0.28199999999999997</v>
      </c>
      <c r="C37" s="28">
        <v>0.218</v>
      </c>
      <c r="E37">
        <f t="shared" si="0"/>
        <v>0</v>
      </c>
      <c r="G37">
        <f t="shared" si="1"/>
        <v>-5.3691275167785268E-2</v>
      </c>
      <c r="I37">
        <f t="shared" si="2"/>
        <v>0</v>
      </c>
      <c r="K37" s="30" t="s">
        <v>44</v>
      </c>
      <c r="L37" s="29">
        <f>1+AVERAGEIF(E2:E90,"&lt;=0")</f>
        <v>0.98286946804240261</v>
      </c>
      <c r="M37" s="29">
        <f>1+AVERAGEIF(G2:G90,"&lt;=0")</f>
        <v>0.99225630597000103</v>
      </c>
      <c r="N37" s="29">
        <f>1+AVERAGEIF(I2:I90,"&lt;=0")</f>
        <v>0.99739363412865845</v>
      </c>
      <c r="Q37" s="40"/>
      <c r="R37" s="40"/>
      <c r="S37" s="40"/>
      <c r="T37" s="40"/>
      <c r="U37" s="40"/>
      <c r="V37" s="40"/>
      <c r="W37" s="40"/>
    </row>
    <row r="38" spans="1:23" x14ac:dyDescent="0.5">
      <c r="A38" s="28">
        <v>0.34</v>
      </c>
      <c r="B38" s="28">
        <v>0.29799999999999999</v>
      </c>
      <c r="C38" s="28">
        <v>0.218</v>
      </c>
      <c r="E38">
        <f t="shared" si="0"/>
        <v>5.9171597633136397E-3</v>
      </c>
      <c r="G38">
        <f t="shared" si="1"/>
        <v>3.4722222222222321E-2</v>
      </c>
      <c r="I38">
        <f t="shared" si="2"/>
        <v>0</v>
      </c>
      <c r="K38" s="30" t="s">
        <v>24</v>
      </c>
      <c r="L38" s="29">
        <f>L36*L37</f>
        <v>1.0048031333650884</v>
      </c>
      <c r="M38" s="29">
        <f>M36*M37</f>
        <v>1.0061282864071472</v>
      </c>
      <c r="N38" s="29">
        <f>N36*N37</f>
        <v>1.0016887482457058</v>
      </c>
      <c r="Q38" s="40" t="s">
        <v>71</v>
      </c>
      <c r="R38" s="40"/>
      <c r="S38" s="54" t="s">
        <v>72</v>
      </c>
      <c r="T38" s="40"/>
      <c r="U38" s="40"/>
      <c r="V38" s="40"/>
      <c r="W38" s="40"/>
    </row>
    <row r="39" spans="1:23" ht="17.7" x14ac:dyDescent="0.55000000000000004">
      <c r="A39" s="28">
        <v>0.33800000000000002</v>
      </c>
      <c r="B39" s="28">
        <v>0.28799999999999998</v>
      </c>
      <c r="C39" s="28">
        <v>0.218</v>
      </c>
      <c r="E39">
        <f t="shared" si="0"/>
        <v>5.6250000000000133E-2</v>
      </c>
      <c r="G39">
        <f t="shared" si="1"/>
        <v>0</v>
      </c>
      <c r="I39">
        <f t="shared" si="2"/>
        <v>0</v>
      </c>
      <c r="K39" s="34" t="s">
        <v>47</v>
      </c>
      <c r="L39" s="35"/>
      <c r="M39" s="35"/>
      <c r="N39" s="35"/>
      <c r="O39" s="35"/>
      <c r="P39" s="35"/>
      <c r="Q39" s="35"/>
      <c r="R39" s="35"/>
    </row>
    <row r="40" spans="1:23" ht="18" x14ac:dyDescent="0.6">
      <c r="A40" s="28">
        <v>0.32</v>
      </c>
      <c r="B40" s="28">
        <v>0.28799999999999998</v>
      </c>
      <c r="C40" s="28">
        <v>0.218</v>
      </c>
      <c r="E40">
        <f t="shared" si="0"/>
        <v>-5.3254437869822535E-2</v>
      </c>
      <c r="G40">
        <f t="shared" si="1"/>
        <v>4.3478260869564966E-2</v>
      </c>
      <c r="I40">
        <f t="shared" si="2"/>
        <v>0</v>
      </c>
      <c r="K40" s="36" t="s">
        <v>48</v>
      </c>
      <c r="L40" s="35">
        <f>P2*T2+Q2*T3</f>
        <v>5.2717468827178093E-3</v>
      </c>
      <c r="M40" s="35"/>
      <c r="N40" s="35"/>
      <c r="O40" s="35"/>
      <c r="P40" s="35"/>
      <c r="Q40" s="35"/>
      <c r="R40" s="35"/>
    </row>
    <row r="41" spans="1:23" ht="18" x14ac:dyDescent="0.6">
      <c r="A41" s="28">
        <v>0.33800000000000002</v>
      </c>
      <c r="B41" s="28">
        <v>0.27600000000000002</v>
      </c>
      <c r="C41" s="28">
        <v>0.218</v>
      </c>
      <c r="E41">
        <f t="shared" si="0"/>
        <v>-6.1111111111111005E-2</v>
      </c>
      <c r="G41">
        <f t="shared" si="1"/>
        <v>8.6614173228346525E-2</v>
      </c>
      <c r="I41">
        <f t="shared" si="2"/>
        <v>0</v>
      </c>
      <c r="K41" s="36" t="s">
        <v>46</v>
      </c>
      <c r="L41" s="35">
        <v>1.6000000000000001E-3</v>
      </c>
      <c r="M41" s="35"/>
      <c r="N41" s="35"/>
      <c r="O41" s="35"/>
      <c r="P41" s="35"/>
      <c r="Q41" s="35"/>
      <c r="R41" s="35"/>
    </row>
    <row r="42" spans="1:23" x14ac:dyDescent="0.5">
      <c r="A42" s="28">
        <v>0.36</v>
      </c>
      <c r="B42" s="28">
        <v>0.254</v>
      </c>
      <c r="C42" s="28">
        <v>0.218</v>
      </c>
      <c r="E42">
        <f t="shared" si="0"/>
        <v>0.14649681528662417</v>
      </c>
      <c r="G42">
        <f t="shared" si="1"/>
        <v>9.4827586206896575E-2</v>
      </c>
      <c r="I42">
        <f t="shared" si="2"/>
        <v>0</v>
      </c>
    </row>
    <row r="43" spans="1:23" ht="18" x14ac:dyDescent="0.6">
      <c r="A43" s="28">
        <v>0.314</v>
      </c>
      <c r="B43" s="28">
        <v>0.23200000000000001</v>
      </c>
      <c r="C43" s="28">
        <v>0.218</v>
      </c>
      <c r="E43">
        <f t="shared" si="0"/>
        <v>-3.6809815950920255E-2</v>
      </c>
      <c r="G43">
        <f t="shared" si="1"/>
        <v>9.4339622641509413E-2</v>
      </c>
      <c r="I43">
        <f t="shared" si="2"/>
        <v>0</v>
      </c>
      <c r="K43" s="51" t="s">
        <v>94</v>
      </c>
    </row>
    <row r="44" spans="1:23" ht="18" x14ac:dyDescent="0.6">
      <c r="A44" s="28">
        <v>0.32600000000000001</v>
      </c>
      <c r="B44" s="28">
        <v>0.21199999999999999</v>
      </c>
      <c r="C44" s="28">
        <v>0.218</v>
      </c>
      <c r="E44">
        <f t="shared" si="0"/>
        <v>-6.0975609756097615E-3</v>
      </c>
      <c r="G44">
        <f t="shared" si="1"/>
        <v>9.8445595854922185E-2</v>
      </c>
      <c r="I44">
        <f t="shared" si="2"/>
        <v>0</v>
      </c>
      <c r="M44" s="43" t="s">
        <v>62</v>
      </c>
    </row>
    <row r="45" spans="1:23" ht="20.7" x14ac:dyDescent="0.7">
      <c r="A45" s="28">
        <v>0.32800000000000001</v>
      </c>
      <c r="B45" s="28">
        <v>0.193</v>
      </c>
      <c r="C45" s="28">
        <v>0.218</v>
      </c>
      <c r="E45">
        <f t="shared" si="0"/>
        <v>7.1895424836601274E-2</v>
      </c>
      <c r="G45">
        <f t="shared" si="1"/>
        <v>0</v>
      </c>
      <c r="I45">
        <f t="shared" si="2"/>
        <v>0</v>
      </c>
      <c r="J45" s="41" t="s">
        <v>61</v>
      </c>
      <c r="K45" s="49">
        <v>0.01</v>
      </c>
      <c r="L45" s="41" t="s">
        <v>64</v>
      </c>
      <c r="M45" s="42"/>
      <c r="N45" s="42"/>
      <c r="O45" s="50">
        <f>-Q9*_xlfn.NORM.INV(K45,L40,SQRT(L41))</f>
        <v>131.67325211837374</v>
      </c>
      <c r="P45" s="41" t="s">
        <v>63</v>
      </c>
      <c r="Q45" s="47"/>
    </row>
    <row r="46" spans="1:23" x14ac:dyDescent="0.5">
      <c r="A46" s="28">
        <v>0.30599999999999999</v>
      </c>
      <c r="B46" s="28">
        <v>0.193</v>
      </c>
      <c r="C46" s="28">
        <v>0.218</v>
      </c>
      <c r="E46">
        <f t="shared" si="0"/>
        <v>0</v>
      </c>
      <c r="G46">
        <f t="shared" si="1"/>
        <v>0</v>
      </c>
      <c r="I46">
        <f t="shared" si="2"/>
        <v>0</v>
      </c>
    </row>
    <row r="47" spans="1:23" x14ac:dyDescent="0.5">
      <c r="A47" s="28">
        <v>0.30599999999999999</v>
      </c>
      <c r="B47" s="28">
        <v>0.193</v>
      </c>
      <c r="C47" s="28">
        <v>0.218</v>
      </c>
      <c r="E47">
        <f t="shared" si="0"/>
        <v>-7.2727272727272751E-2</v>
      </c>
      <c r="G47">
        <f t="shared" si="1"/>
        <v>9.6590909090909172E-2</v>
      </c>
      <c r="I47">
        <f t="shared" si="2"/>
        <v>0</v>
      </c>
    </row>
    <row r="48" spans="1:23" ht="20.7" x14ac:dyDescent="0.7">
      <c r="A48" s="28">
        <v>0.33</v>
      </c>
      <c r="B48" s="28">
        <v>0.17599999999999999</v>
      </c>
      <c r="C48" s="28">
        <v>0.218</v>
      </c>
      <c r="E48">
        <f t="shared" si="0"/>
        <v>0</v>
      </c>
      <c r="G48">
        <f t="shared" si="1"/>
        <v>9.9999999999999867E-2</v>
      </c>
      <c r="I48">
        <f t="shared" si="2"/>
        <v>0</v>
      </c>
      <c r="J48" s="44" t="s">
        <v>65</v>
      </c>
      <c r="K48" s="45"/>
      <c r="L48" s="45"/>
      <c r="M48" s="48">
        <v>150</v>
      </c>
      <c r="N48" s="44" t="s">
        <v>60</v>
      </c>
      <c r="O48" s="50">
        <f>1/2+1/2*ERF((-M48/Q9-L40)/SQRT(L41*2))</f>
        <v>4.2467713344373492E-3</v>
      </c>
    </row>
    <row r="49" spans="1:12" x14ac:dyDescent="0.5">
      <c r="A49" s="28">
        <v>0.33</v>
      </c>
      <c r="B49" s="28">
        <v>0.16</v>
      </c>
      <c r="C49" s="28">
        <v>0.218</v>
      </c>
      <c r="E49">
        <f t="shared" si="0"/>
        <v>0</v>
      </c>
      <c r="G49">
        <f t="shared" si="1"/>
        <v>9.5890410958904271E-2</v>
      </c>
      <c r="I49">
        <f t="shared" si="2"/>
        <v>0</v>
      </c>
    </row>
    <row r="50" spans="1:12" x14ac:dyDescent="0.5">
      <c r="A50" s="28">
        <v>0.33</v>
      </c>
      <c r="B50" s="28">
        <v>0.14599999999999999</v>
      </c>
      <c r="C50" s="28">
        <v>0.218</v>
      </c>
      <c r="E50">
        <f t="shared" si="0"/>
        <v>0</v>
      </c>
      <c r="G50">
        <f t="shared" si="1"/>
        <v>0</v>
      </c>
      <c r="I50">
        <f t="shared" si="2"/>
        <v>9.5477386934673225E-2</v>
      </c>
    </row>
    <row r="51" spans="1:12" x14ac:dyDescent="0.5">
      <c r="A51" s="28">
        <v>0.33</v>
      </c>
      <c r="B51" s="28">
        <v>0.14599999999999999</v>
      </c>
      <c r="C51" s="28">
        <v>0.19900000000000001</v>
      </c>
      <c r="E51">
        <f t="shared" si="0"/>
        <v>0</v>
      </c>
      <c r="G51">
        <f t="shared" si="1"/>
        <v>0</v>
      </c>
      <c r="I51">
        <f t="shared" si="2"/>
        <v>9.9447513812154886E-2</v>
      </c>
    </row>
    <row r="52" spans="1:12" x14ac:dyDescent="0.5">
      <c r="A52" s="28">
        <v>0.33</v>
      </c>
      <c r="B52" s="28">
        <v>0.14599999999999999</v>
      </c>
      <c r="C52" s="28">
        <v>0.18099999999999999</v>
      </c>
      <c r="E52">
        <f t="shared" si="0"/>
        <v>0</v>
      </c>
      <c r="G52">
        <f t="shared" si="1"/>
        <v>0</v>
      </c>
      <c r="I52">
        <f t="shared" si="2"/>
        <v>0</v>
      </c>
    </row>
    <row r="53" spans="1:12" x14ac:dyDescent="0.5">
      <c r="A53" s="28">
        <v>0.33</v>
      </c>
      <c r="B53" s="28">
        <v>0.14599999999999999</v>
      </c>
      <c r="C53" s="28">
        <v>0.18099999999999999</v>
      </c>
      <c r="E53">
        <f t="shared" si="0"/>
        <v>0</v>
      </c>
      <c r="G53">
        <f t="shared" si="1"/>
        <v>0</v>
      </c>
      <c r="I53">
        <f t="shared" si="2"/>
        <v>0</v>
      </c>
      <c r="L53" s="46"/>
    </row>
    <row r="54" spans="1:12" x14ac:dyDescent="0.5">
      <c r="A54" s="28">
        <v>0.33</v>
      </c>
      <c r="B54" s="28">
        <v>0.14599999999999999</v>
      </c>
      <c r="C54" s="28">
        <v>0.18099999999999999</v>
      </c>
      <c r="E54">
        <f t="shared" si="0"/>
        <v>9.27152317880795E-2</v>
      </c>
      <c r="G54">
        <f t="shared" si="1"/>
        <v>0</v>
      </c>
      <c r="I54">
        <f t="shared" si="2"/>
        <v>0</v>
      </c>
    </row>
    <row r="55" spans="1:12" x14ac:dyDescent="0.5">
      <c r="A55" s="28">
        <v>0.30199999999999999</v>
      </c>
      <c r="B55" s="28">
        <v>0.14599999999999999</v>
      </c>
      <c r="C55" s="28">
        <v>0.18099999999999999</v>
      </c>
      <c r="E55">
        <f t="shared" si="0"/>
        <v>-5.031446540880502E-2</v>
      </c>
      <c r="G55">
        <f t="shared" si="1"/>
        <v>0</v>
      </c>
      <c r="I55">
        <f t="shared" si="2"/>
        <v>0</v>
      </c>
    </row>
    <row r="56" spans="1:12" x14ac:dyDescent="0.5">
      <c r="A56" s="28">
        <v>0.318</v>
      </c>
      <c r="B56" s="28">
        <v>0.14599999999999999</v>
      </c>
      <c r="C56" s="28">
        <v>0.18099999999999999</v>
      </c>
      <c r="E56">
        <f t="shared" si="0"/>
        <v>0</v>
      </c>
      <c r="G56">
        <f t="shared" si="1"/>
        <v>0</v>
      </c>
      <c r="I56">
        <f t="shared" si="2"/>
        <v>0</v>
      </c>
    </row>
    <row r="57" spans="1:12" x14ac:dyDescent="0.5">
      <c r="A57" s="28">
        <v>0.318</v>
      </c>
      <c r="B57" s="28">
        <v>0.14599999999999999</v>
      </c>
      <c r="C57" s="28">
        <v>0.18099999999999999</v>
      </c>
      <c r="E57">
        <f t="shared" si="0"/>
        <v>6.0000000000000053E-2</v>
      </c>
      <c r="G57">
        <f t="shared" si="1"/>
        <v>0</v>
      </c>
      <c r="I57">
        <f t="shared" si="2"/>
        <v>0</v>
      </c>
    </row>
    <row r="58" spans="1:12" x14ac:dyDescent="0.5">
      <c r="A58" s="28">
        <v>0.3</v>
      </c>
      <c r="B58" s="28">
        <v>0.14599999999999999</v>
      </c>
      <c r="C58" s="28">
        <v>0.18099999999999999</v>
      </c>
      <c r="E58">
        <f t="shared" si="0"/>
        <v>-1.9607843137254943E-2</v>
      </c>
      <c r="G58">
        <f t="shared" si="1"/>
        <v>0</v>
      </c>
      <c r="I58">
        <f t="shared" si="2"/>
        <v>0</v>
      </c>
    </row>
    <row r="59" spans="1:12" x14ac:dyDescent="0.5">
      <c r="A59" s="28">
        <v>0.30599999999999999</v>
      </c>
      <c r="B59" s="28">
        <v>0.14599999999999999</v>
      </c>
      <c r="C59" s="28">
        <v>0.18099999999999999</v>
      </c>
      <c r="E59">
        <f t="shared" si="0"/>
        <v>0.15909090909090895</v>
      </c>
      <c r="G59">
        <f t="shared" si="1"/>
        <v>0</v>
      </c>
      <c r="I59">
        <f t="shared" si="2"/>
        <v>0</v>
      </c>
    </row>
    <row r="60" spans="1:12" x14ac:dyDescent="0.5">
      <c r="A60" s="28">
        <v>0.26400000000000001</v>
      </c>
      <c r="B60" s="28">
        <v>0.14599999999999999</v>
      </c>
      <c r="C60" s="28">
        <v>0.18099999999999999</v>
      </c>
      <c r="E60">
        <f t="shared" si="0"/>
        <v>-0.14285714285714279</v>
      </c>
      <c r="G60">
        <f t="shared" si="1"/>
        <v>0</v>
      </c>
      <c r="I60">
        <f t="shared" si="2"/>
        <v>0</v>
      </c>
    </row>
    <row r="61" spans="1:12" x14ac:dyDescent="0.5">
      <c r="A61" s="28">
        <v>0.308</v>
      </c>
      <c r="B61" s="28">
        <v>0.14599999999999999</v>
      </c>
      <c r="C61" s="28">
        <v>0.18099999999999999</v>
      </c>
      <c r="E61">
        <f t="shared" si="0"/>
        <v>2.6666666666666616E-2</v>
      </c>
      <c r="G61">
        <f t="shared" si="1"/>
        <v>0</v>
      </c>
      <c r="I61">
        <f t="shared" si="2"/>
        <v>0</v>
      </c>
    </row>
    <row r="62" spans="1:12" x14ac:dyDescent="0.5">
      <c r="A62" s="28">
        <v>0.3</v>
      </c>
      <c r="B62" s="28">
        <v>0.14599999999999999</v>
      </c>
      <c r="C62" s="28">
        <v>0.18099999999999999</v>
      </c>
      <c r="E62">
        <f t="shared" si="0"/>
        <v>6.7114093959732557E-3</v>
      </c>
      <c r="G62">
        <f t="shared" si="1"/>
        <v>0</v>
      </c>
      <c r="I62">
        <f t="shared" si="2"/>
        <v>7.7380952380952328E-2</v>
      </c>
    </row>
    <row r="63" spans="1:12" x14ac:dyDescent="0.5">
      <c r="A63" s="28">
        <v>0.29799999999999999</v>
      </c>
      <c r="B63" s="28">
        <v>0.14599999999999999</v>
      </c>
      <c r="C63" s="28">
        <v>0.16800000000000001</v>
      </c>
      <c r="E63">
        <f t="shared" si="0"/>
        <v>6.7567567567567988E-3</v>
      </c>
      <c r="G63">
        <f t="shared" si="1"/>
        <v>0</v>
      </c>
      <c r="I63">
        <f t="shared" si="2"/>
        <v>0</v>
      </c>
    </row>
    <row r="64" spans="1:12" x14ac:dyDescent="0.5">
      <c r="A64" s="28">
        <v>0.29599999999999999</v>
      </c>
      <c r="B64" s="28">
        <v>0.14599999999999999</v>
      </c>
      <c r="C64" s="28">
        <v>0.16800000000000001</v>
      </c>
      <c r="E64">
        <f t="shared" si="0"/>
        <v>0</v>
      </c>
      <c r="G64">
        <f t="shared" si="1"/>
        <v>0</v>
      </c>
      <c r="I64">
        <f t="shared" si="2"/>
        <v>0</v>
      </c>
    </row>
    <row r="65" spans="1:9" x14ac:dyDescent="0.5">
      <c r="A65" s="28">
        <v>0.29599999999999999</v>
      </c>
      <c r="B65" s="28">
        <v>0.14599999999999999</v>
      </c>
      <c r="C65" s="28">
        <v>0.16800000000000001</v>
      </c>
      <c r="E65">
        <f t="shared" si="0"/>
        <v>3.4965034965035002E-2</v>
      </c>
      <c r="G65">
        <f t="shared" si="1"/>
        <v>0</v>
      </c>
      <c r="I65">
        <f t="shared" si="2"/>
        <v>0</v>
      </c>
    </row>
    <row r="66" spans="1:9" x14ac:dyDescent="0.5">
      <c r="A66" s="28">
        <v>0.28599999999999998</v>
      </c>
      <c r="B66" s="28">
        <v>0.14599999999999999</v>
      </c>
      <c r="C66" s="28">
        <v>0.16800000000000001</v>
      </c>
      <c r="E66">
        <f t="shared" si="0"/>
        <v>0</v>
      </c>
      <c r="G66">
        <f t="shared" si="1"/>
        <v>0</v>
      </c>
      <c r="I66">
        <f t="shared" si="2"/>
        <v>0</v>
      </c>
    </row>
    <row r="67" spans="1:9" x14ac:dyDescent="0.5">
      <c r="A67" s="28">
        <v>0.28599999999999998</v>
      </c>
      <c r="B67" s="28">
        <v>0.14599999999999999</v>
      </c>
      <c r="C67" s="28">
        <v>0.16800000000000001</v>
      </c>
      <c r="E67">
        <f t="shared" ref="E67:E91" si="3">(A67/A68)-1</f>
        <v>-6.9444444444444198E-3</v>
      </c>
      <c r="G67">
        <f t="shared" ref="G67:G91" si="4">(B67/B68)-1</f>
        <v>0</v>
      </c>
      <c r="I67">
        <f t="shared" ref="I67:I91" si="5">(C67/C68)-1</f>
        <v>0</v>
      </c>
    </row>
    <row r="68" spans="1:9" x14ac:dyDescent="0.5">
      <c r="A68" s="28">
        <v>0.28799999999999998</v>
      </c>
      <c r="B68" s="28">
        <v>0.14599999999999999</v>
      </c>
      <c r="C68" s="28">
        <v>0.16800000000000001</v>
      </c>
      <c r="E68">
        <f t="shared" si="3"/>
        <v>6.9930069930070893E-3</v>
      </c>
      <c r="G68">
        <f t="shared" si="4"/>
        <v>0</v>
      </c>
      <c r="I68">
        <f t="shared" si="5"/>
        <v>0</v>
      </c>
    </row>
    <row r="69" spans="1:9" x14ac:dyDescent="0.5">
      <c r="A69" s="28">
        <v>0.28599999999999998</v>
      </c>
      <c r="B69" s="28">
        <v>0.14599999999999999</v>
      </c>
      <c r="C69" s="28">
        <v>0.16800000000000001</v>
      </c>
      <c r="E69">
        <f t="shared" si="3"/>
        <v>5.1470588235293935E-2</v>
      </c>
      <c r="G69">
        <f t="shared" si="4"/>
        <v>0</v>
      </c>
      <c r="I69">
        <f t="shared" si="5"/>
        <v>9.8039215686274606E-2</v>
      </c>
    </row>
    <row r="70" spans="1:9" x14ac:dyDescent="0.5">
      <c r="A70" s="28">
        <v>0.27200000000000002</v>
      </c>
      <c r="B70" s="28">
        <v>0.14599999999999999</v>
      </c>
      <c r="C70" s="28">
        <v>0.153</v>
      </c>
      <c r="E70">
        <f t="shared" si="3"/>
        <v>-2.8571428571428581E-2</v>
      </c>
      <c r="G70">
        <f t="shared" si="4"/>
        <v>0</v>
      </c>
      <c r="I70">
        <f t="shared" si="5"/>
        <v>0</v>
      </c>
    </row>
    <row r="71" spans="1:9" x14ac:dyDescent="0.5">
      <c r="A71" s="28">
        <v>0.28000000000000003</v>
      </c>
      <c r="B71" s="28">
        <v>0.14599999999999999</v>
      </c>
      <c r="C71" s="28">
        <v>0.153</v>
      </c>
      <c r="E71">
        <f t="shared" si="3"/>
        <v>-6.6666666666666541E-2</v>
      </c>
      <c r="G71">
        <f t="shared" si="4"/>
        <v>0</v>
      </c>
      <c r="I71">
        <f t="shared" si="5"/>
        <v>0</v>
      </c>
    </row>
    <row r="72" spans="1:9" x14ac:dyDescent="0.5">
      <c r="A72" s="28">
        <v>0.3</v>
      </c>
      <c r="B72" s="28">
        <v>0.14599999999999999</v>
      </c>
      <c r="C72" s="28">
        <v>0.153</v>
      </c>
      <c r="E72">
        <f t="shared" si="3"/>
        <v>0</v>
      </c>
      <c r="G72">
        <f t="shared" si="4"/>
        <v>0</v>
      </c>
      <c r="I72">
        <f t="shared" si="5"/>
        <v>0</v>
      </c>
    </row>
    <row r="73" spans="1:9" x14ac:dyDescent="0.5">
      <c r="A73" s="28">
        <v>0.3</v>
      </c>
      <c r="B73" s="28">
        <v>0.14599999999999999</v>
      </c>
      <c r="C73" s="28">
        <v>0.153</v>
      </c>
      <c r="E73">
        <f t="shared" si="3"/>
        <v>0</v>
      </c>
      <c r="G73">
        <f t="shared" si="4"/>
        <v>-9.8765432098765538E-2</v>
      </c>
      <c r="I73">
        <f t="shared" si="5"/>
        <v>0</v>
      </c>
    </row>
    <row r="74" spans="1:9" x14ac:dyDescent="0.5">
      <c r="A74" s="28">
        <v>0.3</v>
      </c>
      <c r="B74" s="28">
        <v>0.16200000000000001</v>
      </c>
      <c r="C74" s="28">
        <v>0.153</v>
      </c>
      <c r="E74">
        <f t="shared" si="3"/>
        <v>-6.6225165562914245E-3</v>
      </c>
      <c r="G74">
        <f t="shared" si="4"/>
        <v>0</v>
      </c>
      <c r="I74">
        <f t="shared" si="5"/>
        <v>0</v>
      </c>
    </row>
    <row r="75" spans="1:9" x14ac:dyDescent="0.5">
      <c r="A75" s="28">
        <v>0.30199999999999999</v>
      </c>
      <c r="B75" s="28">
        <v>0.16200000000000001</v>
      </c>
      <c r="C75" s="28">
        <v>0.153</v>
      </c>
      <c r="E75">
        <f t="shared" si="3"/>
        <v>0</v>
      </c>
      <c r="G75">
        <f t="shared" si="4"/>
        <v>0</v>
      </c>
      <c r="I75">
        <f t="shared" si="5"/>
        <v>0</v>
      </c>
    </row>
    <row r="76" spans="1:9" x14ac:dyDescent="0.5">
      <c r="A76" s="28">
        <v>0.30199999999999999</v>
      </c>
      <c r="B76" s="28">
        <v>0.16200000000000001</v>
      </c>
      <c r="C76" s="28">
        <v>0.153</v>
      </c>
      <c r="E76">
        <f t="shared" si="3"/>
        <v>4.1379310344827669E-2</v>
      </c>
      <c r="G76">
        <f t="shared" si="4"/>
        <v>4.5161290322580649E-2</v>
      </c>
      <c r="I76">
        <f t="shared" si="5"/>
        <v>0</v>
      </c>
    </row>
    <row r="77" spans="1:9" x14ac:dyDescent="0.5">
      <c r="A77" s="28">
        <v>0.28999999999999998</v>
      </c>
      <c r="B77" s="28">
        <v>0.155</v>
      </c>
      <c r="C77" s="28">
        <v>0.153</v>
      </c>
      <c r="E77">
        <f t="shared" si="3"/>
        <v>0</v>
      </c>
      <c r="G77">
        <f t="shared" si="4"/>
        <v>0</v>
      </c>
      <c r="I77">
        <f t="shared" si="5"/>
        <v>0</v>
      </c>
    </row>
    <row r="78" spans="1:9" x14ac:dyDescent="0.5">
      <c r="A78" s="28">
        <v>0.28999999999999998</v>
      </c>
      <c r="B78" s="28">
        <v>0.155</v>
      </c>
      <c r="C78" s="28">
        <v>0.153</v>
      </c>
      <c r="E78">
        <f t="shared" si="3"/>
        <v>0</v>
      </c>
      <c r="G78">
        <f t="shared" si="4"/>
        <v>-6.4102564102563875E-3</v>
      </c>
      <c r="I78">
        <f t="shared" si="5"/>
        <v>0</v>
      </c>
    </row>
    <row r="79" spans="1:9" x14ac:dyDescent="0.5">
      <c r="A79" s="28">
        <v>0.28999999999999998</v>
      </c>
      <c r="B79" s="28">
        <v>0.156</v>
      </c>
      <c r="C79" s="28">
        <v>0.153</v>
      </c>
      <c r="E79">
        <f t="shared" si="3"/>
        <v>6.6176470588235059E-2</v>
      </c>
      <c r="G79">
        <f t="shared" si="4"/>
        <v>0</v>
      </c>
      <c r="I79">
        <f t="shared" si="5"/>
        <v>0</v>
      </c>
    </row>
    <row r="80" spans="1:9" x14ac:dyDescent="0.5">
      <c r="A80" s="28">
        <v>0.27200000000000002</v>
      </c>
      <c r="B80" s="28">
        <v>0.156</v>
      </c>
      <c r="C80" s="28">
        <v>0.153</v>
      </c>
      <c r="E80">
        <f t="shared" si="3"/>
        <v>-2.8571428571428581E-2</v>
      </c>
      <c r="G80">
        <f t="shared" si="4"/>
        <v>0</v>
      </c>
      <c r="I80">
        <f t="shared" si="5"/>
        <v>0</v>
      </c>
    </row>
    <row r="81" spans="1:9" x14ac:dyDescent="0.5">
      <c r="A81" s="28">
        <v>0.28000000000000003</v>
      </c>
      <c r="B81" s="28">
        <v>0.156</v>
      </c>
      <c r="C81" s="28">
        <v>0.153</v>
      </c>
      <c r="E81">
        <f t="shared" si="3"/>
        <v>0</v>
      </c>
      <c r="G81">
        <f t="shared" si="4"/>
        <v>0</v>
      </c>
      <c r="I81">
        <f t="shared" si="5"/>
        <v>0</v>
      </c>
    </row>
    <row r="82" spans="1:9" x14ac:dyDescent="0.5">
      <c r="A82" s="28">
        <v>0.28000000000000003</v>
      </c>
      <c r="B82" s="28">
        <v>0.156</v>
      </c>
      <c r="C82" s="28">
        <v>0.153</v>
      </c>
      <c r="E82">
        <f t="shared" si="3"/>
        <v>0</v>
      </c>
      <c r="G82">
        <f t="shared" si="4"/>
        <v>7.5862068965517393E-2</v>
      </c>
      <c r="I82">
        <f t="shared" si="5"/>
        <v>0</v>
      </c>
    </row>
    <row r="83" spans="1:9" x14ac:dyDescent="0.5">
      <c r="A83" s="28">
        <v>0.28000000000000003</v>
      </c>
      <c r="B83" s="28">
        <v>0.14499999999999999</v>
      </c>
      <c r="C83" s="28">
        <v>0.153</v>
      </c>
      <c r="E83">
        <f t="shared" si="3"/>
        <v>-2.7777777777777568E-2</v>
      </c>
      <c r="G83">
        <f t="shared" si="4"/>
        <v>0</v>
      </c>
      <c r="I83">
        <f t="shared" si="5"/>
        <v>0</v>
      </c>
    </row>
    <row r="84" spans="1:9" x14ac:dyDescent="0.5">
      <c r="A84" s="28">
        <v>0.28799999999999998</v>
      </c>
      <c r="B84" s="28">
        <v>0.14499999999999999</v>
      </c>
      <c r="C84" s="28">
        <v>0.153</v>
      </c>
      <c r="E84">
        <f t="shared" si="3"/>
        <v>2.857142857142847E-2</v>
      </c>
      <c r="G84">
        <f t="shared" si="4"/>
        <v>0</v>
      </c>
      <c r="I84">
        <f t="shared" si="5"/>
        <v>0</v>
      </c>
    </row>
    <row r="85" spans="1:9" x14ac:dyDescent="0.5">
      <c r="A85" s="28">
        <v>0.28000000000000003</v>
      </c>
      <c r="B85" s="28">
        <v>0.14499999999999999</v>
      </c>
      <c r="C85" s="28">
        <v>0.153</v>
      </c>
      <c r="E85">
        <f t="shared" si="3"/>
        <v>0.12000000000000011</v>
      </c>
      <c r="G85">
        <f t="shared" si="4"/>
        <v>0</v>
      </c>
      <c r="I85">
        <f t="shared" si="5"/>
        <v>0</v>
      </c>
    </row>
    <row r="86" spans="1:9" x14ac:dyDescent="0.5">
      <c r="A86" s="28">
        <v>0.25</v>
      </c>
      <c r="B86" s="28">
        <v>0.14499999999999999</v>
      </c>
      <c r="C86" s="28">
        <v>0.153</v>
      </c>
      <c r="E86">
        <f t="shared" si="3"/>
        <v>3.3057851239669533E-2</v>
      </c>
      <c r="G86">
        <f t="shared" si="4"/>
        <v>0</v>
      </c>
      <c r="I86">
        <f t="shared" si="5"/>
        <v>0</v>
      </c>
    </row>
    <row r="87" spans="1:9" x14ac:dyDescent="0.5">
      <c r="A87" s="28">
        <v>0.24199999999999999</v>
      </c>
      <c r="B87" s="28">
        <v>0.14499999999999999</v>
      </c>
      <c r="C87" s="28">
        <v>0.153</v>
      </c>
      <c r="E87">
        <f t="shared" si="3"/>
        <v>1.6806722689075571E-2</v>
      </c>
      <c r="G87">
        <f t="shared" si="4"/>
        <v>0</v>
      </c>
      <c r="I87">
        <f t="shared" si="5"/>
        <v>0</v>
      </c>
    </row>
    <row r="88" spans="1:9" x14ac:dyDescent="0.5">
      <c r="A88" s="28">
        <v>0.23799999999999999</v>
      </c>
      <c r="B88" s="28">
        <v>0.14499999999999999</v>
      </c>
      <c r="C88" s="28">
        <v>0.153</v>
      </c>
      <c r="E88">
        <f t="shared" si="3"/>
        <v>-1.6528925619834767E-2</v>
      </c>
      <c r="G88">
        <f t="shared" si="4"/>
        <v>0</v>
      </c>
      <c r="I88">
        <f t="shared" si="5"/>
        <v>0</v>
      </c>
    </row>
    <row r="89" spans="1:9" x14ac:dyDescent="0.5">
      <c r="A89" s="28">
        <v>0.24199999999999999</v>
      </c>
      <c r="B89" s="28">
        <v>0.14499999999999999</v>
      </c>
      <c r="C89" s="28">
        <v>0.153</v>
      </c>
      <c r="E89">
        <f t="shared" si="3"/>
        <v>-8.1967213114754189E-3</v>
      </c>
      <c r="G89">
        <f t="shared" si="4"/>
        <v>0</v>
      </c>
      <c r="I89">
        <f t="shared" si="5"/>
        <v>0</v>
      </c>
    </row>
    <row r="90" spans="1:9" x14ac:dyDescent="0.5">
      <c r="A90" s="28">
        <v>0.24399999999999999</v>
      </c>
      <c r="B90" s="28">
        <v>0.14499999999999999</v>
      </c>
      <c r="C90" s="28">
        <v>0.153</v>
      </c>
      <c r="E90">
        <f t="shared" si="3"/>
        <v>0</v>
      </c>
      <c r="G90">
        <f t="shared" si="4"/>
        <v>0</v>
      </c>
      <c r="I90">
        <f t="shared" si="5"/>
        <v>0</v>
      </c>
    </row>
    <row r="91" spans="1:9" x14ac:dyDescent="0.5">
      <c r="A91" s="28">
        <v>0.24399999999999999</v>
      </c>
      <c r="B91" s="28">
        <v>0.14499999999999999</v>
      </c>
      <c r="C91" s="28">
        <v>0.153</v>
      </c>
      <c r="E91">
        <f t="shared" si="3"/>
        <v>-0.3146067415730337</v>
      </c>
      <c r="G91">
        <f t="shared" si="4"/>
        <v>-0.98777403035413158</v>
      </c>
      <c r="I91">
        <f t="shared" si="5"/>
        <v>-0.37295081967213117</v>
      </c>
    </row>
    <row r="92" spans="1:9" x14ac:dyDescent="0.5">
      <c r="A92" s="52">
        <v>0.35599999999999998</v>
      </c>
      <c r="B92" s="59">
        <v>11.86</v>
      </c>
      <c r="C92" s="52">
        <v>0.24399999999999999</v>
      </c>
    </row>
  </sheetData>
  <hyperlinks>
    <hyperlink ref="S38" r:id="rId1" display="http://www.samos.aegean.gr/actuar/nick/VeltistopoiisiXartofilakiou.pdf" xr:uid="{4528B51E-2F58-457A-86FE-84A687C6CB1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EECD5-5A4D-4414-AD33-AD84D96A696F}">
  <dimension ref="A1:W92"/>
  <sheetViews>
    <sheetView topLeftCell="I28" workbookViewId="0">
      <selection activeCell="M49" sqref="M49"/>
    </sheetView>
  </sheetViews>
  <sheetFormatPr defaultRowHeight="14.35" x14ac:dyDescent="0.5"/>
  <cols>
    <col min="1" max="1" width="16" customWidth="1"/>
    <col min="2" max="2" width="15.41015625" customWidth="1"/>
    <col min="3" max="3" width="19.1171875" customWidth="1"/>
    <col min="5" max="5" width="18.234375" customWidth="1"/>
    <col min="6" max="6" width="24.41015625" customWidth="1"/>
    <col min="7" max="7" width="21.3515625" customWidth="1"/>
    <col min="8" max="8" width="27.52734375" customWidth="1"/>
    <col min="9" max="9" width="20.41015625" customWidth="1"/>
    <col min="10" max="10" width="25.234375" customWidth="1"/>
    <col min="12" max="12" width="18.64453125" customWidth="1"/>
    <col min="13" max="13" width="12" bestFit="1" customWidth="1"/>
    <col min="14" max="14" width="22" customWidth="1"/>
    <col min="15" max="15" width="20.1171875" customWidth="1"/>
    <col min="16" max="16" width="39.41015625" customWidth="1"/>
    <col min="17" max="17" width="25.52734375" customWidth="1"/>
    <col min="18" max="18" width="21" customWidth="1"/>
    <col min="19" max="19" width="49.64453125" customWidth="1"/>
    <col min="21" max="21" width="13.41015625" customWidth="1"/>
    <col min="23" max="23" width="16.76171875" customWidth="1"/>
  </cols>
  <sheetData>
    <row r="1" spans="1:23" x14ac:dyDescent="0.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9</v>
      </c>
      <c r="G1" s="1" t="s">
        <v>4</v>
      </c>
      <c r="H1" s="1" t="s">
        <v>14</v>
      </c>
      <c r="I1" s="1" t="s">
        <v>5</v>
      </c>
      <c r="J1" s="1" t="s">
        <v>10</v>
      </c>
      <c r="L1" s="1" t="s">
        <v>6</v>
      </c>
      <c r="M1" s="1" t="s">
        <v>7</v>
      </c>
      <c r="N1" s="1" t="s">
        <v>8</v>
      </c>
      <c r="O1" s="1"/>
      <c r="P1" s="1" t="s">
        <v>11</v>
      </c>
      <c r="Q1" s="1" t="s">
        <v>12</v>
      </c>
      <c r="R1" s="1" t="s">
        <v>13</v>
      </c>
      <c r="S1" s="6"/>
      <c r="T1" s="7"/>
      <c r="U1" s="7"/>
      <c r="V1" s="7"/>
      <c r="W1" s="13"/>
    </row>
    <row r="2" spans="1:23" x14ac:dyDescent="0.5">
      <c r="A2" s="28">
        <v>0.35799999999999998</v>
      </c>
      <c r="B2" s="28">
        <v>0.23599999999999999</v>
      </c>
      <c r="C2" s="28">
        <v>0.17299999999999999</v>
      </c>
      <c r="D2" s="37"/>
      <c r="E2">
        <f>(A2/A3)-1</f>
        <v>2.2857142857142909E-2</v>
      </c>
      <c r="F2" s="13">
        <f>_xlfn.COVARIANCE.P(E2:E90,E2:E90)</f>
        <v>1.8195777235290858E-3</v>
      </c>
      <c r="G2">
        <f>(B2/B3)-1</f>
        <v>0</v>
      </c>
      <c r="H2" s="13">
        <f>_xlfn.COVARIANCE.P(G2:G90,G2:G90)</f>
        <v>1.4728948030453639E-3</v>
      </c>
      <c r="I2">
        <f>(C2/C3)-1</f>
        <v>0</v>
      </c>
      <c r="J2" s="13">
        <f>_xlfn.COVARIANCE.P(I2:I90,I2:I90)</f>
        <v>5.9045004433285159E-4</v>
      </c>
      <c r="L2" s="13">
        <f>_xlfn.COVARIANCE.P(E2:E90,G2:G90)</f>
        <v>-7.8308436728676291E-5</v>
      </c>
      <c r="M2" s="13">
        <f>_xlfn.COVARIANCE.P(E2:E90,I2:I90)</f>
        <v>8.038940007644454E-5</v>
      </c>
      <c r="N2" s="13">
        <f>_xlfn.COVARIANCE.P(G2:G90,I2:I90)</f>
        <v>-1.7915339604554883E-5</v>
      </c>
      <c r="P2" s="13">
        <f>AVERAGE(E2:E90)</f>
        <v>5.2103994942001557E-3</v>
      </c>
      <c r="Q2" s="13">
        <f>AVERAGE(G2:G90)</f>
        <v>6.2149378238851383E-3</v>
      </c>
      <c r="R2" s="13">
        <f>AVERAGE(I2:I90)</f>
        <v>1.6719547162923605E-3</v>
      </c>
      <c r="S2" s="7" t="s">
        <v>30</v>
      </c>
      <c r="T2" s="7">
        <v>0.30411913211698072</v>
      </c>
      <c r="U2" s="7"/>
      <c r="V2" s="7"/>
      <c r="W2" s="13"/>
    </row>
    <row r="3" spans="1:23" x14ac:dyDescent="0.5">
      <c r="A3" s="28">
        <v>0.35</v>
      </c>
      <c r="B3" s="28">
        <v>0.23599999999999999</v>
      </c>
      <c r="C3" s="28">
        <v>0.17299999999999999</v>
      </c>
      <c r="E3">
        <f t="shared" ref="E3:E66" si="0">(A3/A4)-1</f>
        <v>0</v>
      </c>
      <c r="G3">
        <f t="shared" ref="G3:G66" si="1">(B3/B4)-1</f>
        <v>0</v>
      </c>
      <c r="I3">
        <f t="shared" ref="I3:I66" si="2">(C3/C4)-1</f>
        <v>0</v>
      </c>
      <c r="S3" s="7" t="s">
        <v>31</v>
      </c>
      <c r="T3" s="7">
        <v>0.69588086788301939</v>
      </c>
      <c r="U3" s="7"/>
      <c r="V3" s="7"/>
      <c r="W3" s="13"/>
    </row>
    <row r="4" spans="1:23" x14ac:dyDescent="0.5">
      <c r="A4" s="28">
        <v>0.35</v>
      </c>
      <c r="B4" s="28">
        <v>0.23599999999999999</v>
      </c>
      <c r="C4" s="28">
        <v>0.17299999999999999</v>
      </c>
      <c r="E4">
        <f t="shared" si="0"/>
        <v>-3.3149171270718258E-2</v>
      </c>
      <c r="G4">
        <f t="shared" si="1"/>
        <v>-5.600000000000005E-2</v>
      </c>
      <c r="I4">
        <f t="shared" si="2"/>
        <v>0</v>
      </c>
      <c r="S4" s="7" t="s">
        <v>32</v>
      </c>
      <c r="T4" s="7">
        <v>0</v>
      </c>
      <c r="U4" s="7"/>
      <c r="V4" s="7"/>
    </row>
    <row r="5" spans="1:23" x14ac:dyDescent="0.5">
      <c r="A5" s="28">
        <v>0.36199999999999999</v>
      </c>
      <c r="B5" s="28">
        <v>0.25</v>
      </c>
      <c r="C5" s="28">
        <v>0.17299999999999999</v>
      </c>
      <c r="E5">
        <f t="shared" si="0"/>
        <v>5.5555555555555358E-3</v>
      </c>
      <c r="G5">
        <f t="shared" si="1"/>
        <v>-9.4202898550724723E-2</v>
      </c>
      <c r="I5">
        <f t="shared" si="2"/>
        <v>0</v>
      </c>
      <c r="S5" s="7"/>
      <c r="T5" s="7"/>
      <c r="U5" s="7"/>
      <c r="V5" s="7"/>
    </row>
    <row r="6" spans="1:23" x14ac:dyDescent="0.5">
      <c r="A6" s="28">
        <v>0.36</v>
      </c>
      <c r="B6" s="28">
        <v>0.27600000000000002</v>
      </c>
      <c r="C6" s="28">
        <v>0.17299999999999999</v>
      </c>
      <c r="E6">
        <f t="shared" si="0"/>
        <v>0</v>
      </c>
      <c r="G6">
        <f t="shared" si="1"/>
        <v>0</v>
      </c>
      <c r="I6">
        <f t="shared" si="2"/>
        <v>-3.8888888888888973E-2</v>
      </c>
      <c r="S6" s="7"/>
      <c r="T6" s="7"/>
      <c r="U6" s="7"/>
      <c r="V6" s="7"/>
    </row>
    <row r="7" spans="1:23" x14ac:dyDescent="0.5">
      <c r="A7" s="28">
        <v>0.36</v>
      </c>
      <c r="B7" s="28">
        <v>0.27600000000000002</v>
      </c>
      <c r="C7" s="28">
        <v>0.18</v>
      </c>
      <c r="E7">
        <f t="shared" si="0"/>
        <v>0</v>
      </c>
      <c r="G7">
        <f t="shared" si="1"/>
        <v>0</v>
      </c>
      <c r="I7">
        <f t="shared" si="2"/>
        <v>-9.0909090909090939E-2</v>
      </c>
      <c r="S7" s="7" t="s">
        <v>66</v>
      </c>
      <c r="T7" s="7">
        <f>P2*T2+Q2*T3-(F2*T2^2+H2*T3^2+2*T2*T3*L2)</f>
        <v>5.0610439413558859E-3</v>
      </c>
      <c r="U7" s="7"/>
      <c r="V7" s="7"/>
    </row>
    <row r="8" spans="1:23" x14ac:dyDescent="0.5">
      <c r="A8" s="28">
        <v>0.36</v>
      </c>
      <c r="B8" s="28">
        <v>0.27600000000000002</v>
      </c>
      <c r="C8" s="28">
        <v>0.19800000000000001</v>
      </c>
      <c r="E8">
        <f t="shared" si="0"/>
        <v>2.8571428571428692E-2</v>
      </c>
      <c r="G8">
        <f t="shared" si="1"/>
        <v>0</v>
      </c>
      <c r="I8">
        <f t="shared" si="2"/>
        <v>0</v>
      </c>
      <c r="S8" s="7"/>
      <c r="T8" s="7"/>
      <c r="U8" s="7"/>
      <c r="V8" s="7"/>
    </row>
    <row r="9" spans="1:23" x14ac:dyDescent="0.5">
      <c r="A9" s="28">
        <v>0.35</v>
      </c>
      <c r="B9" s="28">
        <v>0.27600000000000002</v>
      </c>
      <c r="C9" s="28">
        <v>0.19800000000000001</v>
      </c>
      <c r="E9">
        <f t="shared" si="0"/>
        <v>-5.4054054054054057E-2</v>
      </c>
      <c r="G9">
        <f t="shared" si="1"/>
        <v>0</v>
      </c>
      <c r="I9">
        <f t="shared" si="2"/>
        <v>0</v>
      </c>
      <c r="P9" s="2" t="s">
        <v>19</v>
      </c>
      <c r="Q9" s="5">
        <v>1500</v>
      </c>
      <c r="S9" s="7" t="s">
        <v>16</v>
      </c>
      <c r="T9" s="7">
        <f>T2+T3</f>
        <v>1</v>
      </c>
      <c r="U9" s="7" t="s">
        <v>17</v>
      </c>
      <c r="V9" s="7">
        <v>1</v>
      </c>
    </row>
    <row r="10" spans="1:23" x14ac:dyDescent="0.5">
      <c r="A10" s="28">
        <v>0.37</v>
      </c>
      <c r="B10" s="28">
        <v>0.27600000000000002</v>
      </c>
      <c r="C10" s="28">
        <v>0.19800000000000001</v>
      </c>
      <c r="E10">
        <f t="shared" si="0"/>
        <v>-2.1164021164021163E-2</v>
      </c>
      <c r="G10">
        <f t="shared" si="1"/>
        <v>0</v>
      </c>
      <c r="I10">
        <f t="shared" si="2"/>
        <v>0</v>
      </c>
      <c r="P10" s="3"/>
      <c r="Q10" s="3"/>
      <c r="R10" s="15" t="s">
        <v>25</v>
      </c>
      <c r="S10" s="7"/>
      <c r="T10" s="7"/>
      <c r="U10" s="7"/>
      <c r="V10" s="7"/>
    </row>
    <row r="11" spans="1:23" ht="14.7" thickBot="1" x14ac:dyDescent="0.55000000000000004">
      <c r="A11" s="28">
        <v>0.378</v>
      </c>
      <c r="B11" s="28">
        <v>0.27600000000000002</v>
      </c>
      <c r="C11" s="28">
        <v>0.19800000000000001</v>
      </c>
      <c r="E11">
        <f t="shared" si="0"/>
        <v>-2.5773195876288679E-2</v>
      </c>
      <c r="G11">
        <f t="shared" si="1"/>
        <v>7.2992700729928028E-3</v>
      </c>
      <c r="I11">
        <f t="shared" si="2"/>
        <v>-9.1743119266055051E-2</v>
      </c>
      <c r="P11" s="10" t="s">
        <v>20</v>
      </c>
      <c r="Q11" s="11">
        <f>T2*Q9</f>
        <v>456.17869817547108</v>
      </c>
      <c r="R11" s="14">
        <f>Q11/A2</f>
        <v>1274.2421736745002</v>
      </c>
      <c r="S11" s="7" t="s">
        <v>18</v>
      </c>
      <c r="T11" s="7">
        <f>T2*P2+T3*Q2+T4*R2</f>
        <v>5.909438498883101E-3</v>
      </c>
      <c r="U11" s="7" t="s">
        <v>17</v>
      </c>
      <c r="V11" s="7">
        <f>L40</f>
        <v>5.909438498883101E-3</v>
      </c>
    </row>
    <row r="12" spans="1:23" ht="14.7" thickBot="1" x14ac:dyDescent="0.55000000000000004">
      <c r="A12" s="28">
        <v>0.38800000000000001</v>
      </c>
      <c r="B12" s="28">
        <v>0.27400000000000002</v>
      </c>
      <c r="C12" s="28">
        <v>0.218</v>
      </c>
      <c r="E12">
        <f t="shared" si="0"/>
        <v>0</v>
      </c>
      <c r="G12">
        <f t="shared" si="1"/>
        <v>0</v>
      </c>
      <c r="I12">
        <f t="shared" si="2"/>
        <v>0</v>
      </c>
      <c r="P12" s="12" t="s">
        <v>21</v>
      </c>
      <c r="Q12" s="12">
        <f>Q9*T3</f>
        <v>1043.8213018245292</v>
      </c>
      <c r="R12" s="14">
        <f>Q12/B2</f>
        <v>4422.9716179005472</v>
      </c>
    </row>
    <row r="13" spans="1:23" ht="14.7" thickBot="1" x14ac:dyDescent="0.55000000000000004">
      <c r="A13" s="28">
        <v>0.38800000000000001</v>
      </c>
      <c r="B13" s="28">
        <v>0.27400000000000002</v>
      </c>
      <c r="C13" s="28">
        <v>0.218</v>
      </c>
      <c r="E13">
        <f t="shared" si="0"/>
        <v>1.0416666666666741E-2</v>
      </c>
      <c r="G13">
        <f t="shared" si="1"/>
        <v>0</v>
      </c>
      <c r="I13">
        <f t="shared" si="2"/>
        <v>0</v>
      </c>
      <c r="P13" s="4" t="s">
        <v>22</v>
      </c>
      <c r="Q13" s="3">
        <f>Q9*T4</f>
        <v>0</v>
      </c>
      <c r="R13" s="14">
        <f>Q13/C2</f>
        <v>0</v>
      </c>
    </row>
    <row r="14" spans="1:23" ht="14.7" thickBot="1" x14ac:dyDescent="0.55000000000000004">
      <c r="A14" s="28">
        <v>0.38400000000000001</v>
      </c>
      <c r="B14" s="28">
        <v>0.27400000000000002</v>
      </c>
      <c r="C14" s="28">
        <v>0.218</v>
      </c>
      <c r="E14">
        <f t="shared" si="0"/>
        <v>-2.5380710659898553E-2</v>
      </c>
      <c r="G14">
        <f t="shared" si="1"/>
        <v>0</v>
      </c>
      <c r="I14">
        <f t="shared" si="2"/>
        <v>0</v>
      </c>
      <c r="P14" s="8" t="s">
        <v>23</v>
      </c>
      <c r="Q14" s="9">
        <f>Q11+Q12+Q13</f>
        <v>1500.0000000000002</v>
      </c>
    </row>
    <row r="15" spans="1:23" x14ac:dyDescent="0.5">
      <c r="A15" s="28">
        <v>0.39400000000000002</v>
      </c>
      <c r="B15" s="28">
        <v>0.27400000000000002</v>
      </c>
      <c r="C15" s="28">
        <v>0.218</v>
      </c>
      <c r="E15">
        <f t="shared" si="0"/>
        <v>0</v>
      </c>
      <c r="G15">
        <f t="shared" si="1"/>
        <v>0</v>
      </c>
      <c r="I15">
        <f t="shared" si="2"/>
        <v>0</v>
      </c>
    </row>
    <row r="16" spans="1:23" x14ac:dyDescent="0.5">
      <c r="A16" s="28">
        <v>0.39400000000000002</v>
      </c>
      <c r="B16" s="28">
        <v>0.27400000000000002</v>
      </c>
      <c r="C16" s="28">
        <v>0.218</v>
      </c>
      <c r="E16">
        <f t="shared" si="0"/>
        <v>3.6842105263158009E-2</v>
      </c>
      <c r="G16">
        <f t="shared" si="1"/>
        <v>0</v>
      </c>
      <c r="I16">
        <f t="shared" si="2"/>
        <v>0</v>
      </c>
    </row>
    <row r="17" spans="1:23" x14ac:dyDescent="0.5">
      <c r="A17" s="28">
        <v>0.38</v>
      </c>
      <c r="B17" s="28">
        <v>0.27400000000000002</v>
      </c>
      <c r="C17" s="28">
        <v>0.218</v>
      </c>
      <c r="E17">
        <f t="shared" si="0"/>
        <v>0</v>
      </c>
      <c r="G17">
        <f t="shared" si="1"/>
        <v>-3.5211267605633645E-2</v>
      </c>
      <c r="I17">
        <f t="shared" si="2"/>
        <v>0</v>
      </c>
      <c r="Q17" s="16" t="s">
        <v>27</v>
      </c>
      <c r="R17" s="16">
        <v>2.2799999999999998</v>
      </c>
    </row>
    <row r="18" spans="1:23" x14ac:dyDescent="0.5">
      <c r="A18" s="28">
        <v>0.38</v>
      </c>
      <c r="B18" s="28">
        <v>0.28399999999999997</v>
      </c>
      <c r="C18" s="28">
        <v>0.218</v>
      </c>
      <c r="E18">
        <f t="shared" si="0"/>
        <v>0</v>
      </c>
      <c r="G18">
        <f t="shared" si="1"/>
        <v>0</v>
      </c>
      <c r="I18">
        <f t="shared" si="2"/>
        <v>0</v>
      </c>
      <c r="L18" s="13"/>
      <c r="M18" s="13"/>
      <c r="Q18" s="16" t="s">
        <v>28</v>
      </c>
      <c r="R18" s="16">
        <v>0.64400000000000002</v>
      </c>
    </row>
    <row r="19" spans="1:23" ht="14.7" thickBot="1" x14ac:dyDescent="0.55000000000000004">
      <c r="A19" s="28">
        <v>0.38</v>
      </c>
      <c r="B19" s="28">
        <v>0.28399999999999997</v>
      </c>
      <c r="C19" s="28">
        <v>0.218</v>
      </c>
      <c r="E19">
        <f t="shared" si="0"/>
        <v>0</v>
      </c>
      <c r="G19">
        <f t="shared" si="1"/>
        <v>0</v>
      </c>
      <c r="I19">
        <f t="shared" si="2"/>
        <v>0</v>
      </c>
      <c r="L19" s="13"/>
      <c r="M19" s="13"/>
      <c r="Q19" s="16" t="s">
        <v>29</v>
      </c>
      <c r="R19" s="16">
        <v>0.42799999999999999</v>
      </c>
    </row>
    <row r="20" spans="1:23" ht="14.7" thickBot="1" x14ac:dyDescent="0.55000000000000004">
      <c r="A20" s="28">
        <v>0.38</v>
      </c>
      <c r="B20" s="28">
        <v>0.28399999999999997</v>
      </c>
      <c r="C20" s="28">
        <v>0.218</v>
      </c>
      <c r="E20">
        <f t="shared" si="0"/>
        <v>3.2608695652173836E-2</v>
      </c>
      <c r="G20">
        <f t="shared" si="1"/>
        <v>0</v>
      </c>
      <c r="I20">
        <f t="shared" si="2"/>
        <v>0</v>
      </c>
      <c r="L20" s="13"/>
      <c r="M20" s="13"/>
      <c r="Q20" s="17" t="s">
        <v>26</v>
      </c>
      <c r="R20" s="17">
        <f>R11*$R$17+R12*$R$18+R13*$R$19</f>
        <v>5753.6658779058125</v>
      </c>
    </row>
    <row r="21" spans="1:23" x14ac:dyDescent="0.5">
      <c r="A21" s="28">
        <v>0.36799999999999999</v>
      </c>
      <c r="B21" s="28">
        <v>0.28399999999999997</v>
      </c>
      <c r="C21" s="28">
        <v>0.218</v>
      </c>
      <c r="E21">
        <f t="shared" si="0"/>
        <v>2.7932960893854775E-2</v>
      </c>
      <c r="G21">
        <f t="shared" si="1"/>
        <v>0</v>
      </c>
      <c r="I21">
        <f t="shared" si="2"/>
        <v>0</v>
      </c>
    </row>
    <row r="22" spans="1:23" x14ac:dyDescent="0.5">
      <c r="A22" s="28">
        <v>0.35799999999999998</v>
      </c>
      <c r="B22" s="28">
        <v>0.28399999999999997</v>
      </c>
      <c r="C22" s="28">
        <v>0.218</v>
      </c>
      <c r="E22">
        <f t="shared" si="0"/>
        <v>0</v>
      </c>
      <c r="G22">
        <f t="shared" si="1"/>
        <v>0</v>
      </c>
      <c r="I22">
        <f t="shared" si="2"/>
        <v>0</v>
      </c>
      <c r="K22" s="18"/>
      <c r="L22" s="20" t="s">
        <v>33</v>
      </c>
      <c r="M22" s="18"/>
      <c r="N22" s="18"/>
    </row>
    <row r="23" spans="1:23" ht="14.7" thickBot="1" x14ac:dyDescent="0.55000000000000004">
      <c r="A23" s="28">
        <v>0.35799999999999998</v>
      </c>
      <c r="B23" s="28">
        <v>0.28399999999999997</v>
      </c>
      <c r="C23" s="28">
        <v>0.218</v>
      </c>
      <c r="E23">
        <f t="shared" si="0"/>
        <v>-1.1049723756906049E-2</v>
      </c>
      <c r="G23">
        <f t="shared" si="1"/>
        <v>0</v>
      </c>
      <c r="I23">
        <f t="shared" si="2"/>
        <v>0</v>
      </c>
      <c r="K23" s="18"/>
      <c r="L23" s="18" t="s">
        <v>34</v>
      </c>
      <c r="M23" s="18" t="s">
        <v>35</v>
      </c>
      <c r="N23" s="18" t="s">
        <v>36</v>
      </c>
    </row>
    <row r="24" spans="1:23" ht="14.7" thickBot="1" x14ac:dyDescent="0.55000000000000004">
      <c r="A24" s="28">
        <v>0.36199999999999999</v>
      </c>
      <c r="B24" s="28">
        <v>0.28399999999999997</v>
      </c>
      <c r="C24" s="28">
        <v>0.218</v>
      </c>
      <c r="E24">
        <f t="shared" si="0"/>
        <v>5.5555555555555358E-3</v>
      </c>
      <c r="G24">
        <f t="shared" si="1"/>
        <v>0</v>
      </c>
      <c r="I24">
        <f t="shared" si="2"/>
        <v>0</v>
      </c>
      <c r="K24" s="18" t="s">
        <v>34</v>
      </c>
      <c r="L24" s="32">
        <f>F2</f>
        <v>1.8195777235290858E-3</v>
      </c>
      <c r="M24" s="33">
        <f>L2</f>
        <v>-7.8308436728676291E-5</v>
      </c>
      <c r="N24" s="31">
        <f>M2</f>
        <v>8.038940007644454E-5</v>
      </c>
    </row>
    <row r="25" spans="1:23" ht="14.7" thickBot="1" x14ac:dyDescent="0.55000000000000004">
      <c r="A25" s="28">
        <v>0.36</v>
      </c>
      <c r="B25" s="28">
        <v>0.28399999999999997</v>
      </c>
      <c r="C25" s="28">
        <v>0.218</v>
      </c>
      <c r="E25">
        <f t="shared" si="0"/>
        <v>-4.7619047619047672E-2</v>
      </c>
      <c r="G25">
        <f t="shared" si="1"/>
        <v>9.2307692307692202E-2</v>
      </c>
      <c r="I25">
        <f t="shared" si="2"/>
        <v>0</v>
      </c>
      <c r="K25" s="18" t="s">
        <v>35</v>
      </c>
      <c r="L25" s="32">
        <f>L2</f>
        <v>-7.8308436728676291E-5</v>
      </c>
      <c r="M25" s="33">
        <f>H2</f>
        <v>1.4728948030453639E-3</v>
      </c>
      <c r="N25" s="31">
        <f>N2</f>
        <v>-1.7915339604554883E-5</v>
      </c>
    </row>
    <row r="26" spans="1:23" ht="14.7" thickBot="1" x14ac:dyDescent="0.55000000000000004">
      <c r="A26" s="28">
        <v>0.378</v>
      </c>
      <c r="B26" s="28">
        <v>0.26</v>
      </c>
      <c r="C26" s="28">
        <v>0.218</v>
      </c>
      <c r="E26">
        <f t="shared" si="0"/>
        <v>5.0000000000000044E-2</v>
      </c>
      <c r="G26">
        <f t="shared" si="1"/>
        <v>4.0000000000000036E-2</v>
      </c>
      <c r="I26">
        <f t="shared" si="2"/>
        <v>0</v>
      </c>
      <c r="K26" s="18" t="s">
        <v>36</v>
      </c>
      <c r="L26" s="32">
        <f>M2</f>
        <v>8.038940007644454E-5</v>
      </c>
      <c r="M26" s="33">
        <f>N2</f>
        <v>-1.7915339604554883E-5</v>
      </c>
      <c r="N26" s="19">
        <f>J2</f>
        <v>5.9045004433285159E-4</v>
      </c>
    </row>
    <row r="27" spans="1:23" x14ac:dyDescent="0.5">
      <c r="A27" s="28">
        <v>0.36</v>
      </c>
      <c r="B27" s="28">
        <v>0.25</v>
      </c>
      <c r="C27" s="28">
        <v>0.218</v>
      </c>
      <c r="E27">
        <f t="shared" si="0"/>
        <v>-2.1739130434782594E-2</v>
      </c>
      <c r="G27">
        <f t="shared" si="1"/>
        <v>-9.4202898550724723E-2</v>
      </c>
      <c r="I27">
        <f t="shared" si="2"/>
        <v>0</v>
      </c>
      <c r="K27" s="21" t="s">
        <v>40</v>
      </c>
      <c r="L27" s="22"/>
      <c r="M27" s="22"/>
      <c r="N27" s="22"/>
      <c r="Q27" s="39" t="s">
        <v>49</v>
      </c>
      <c r="R27" s="40"/>
      <c r="S27" s="40"/>
      <c r="T27" s="40"/>
      <c r="U27" s="40"/>
      <c r="V27" s="40"/>
      <c r="W27" s="40"/>
    </row>
    <row r="28" spans="1:23" x14ac:dyDescent="0.5">
      <c r="A28" s="28">
        <v>0.36799999999999999</v>
      </c>
      <c r="B28" s="28">
        <v>0.27600000000000002</v>
      </c>
      <c r="C28" s="28">
        <v>0.218</v>
      </c>
      <c r="E28">
        <f t="shared" si="0"/>
        <v>2.7932960893854775E-2</v>
      </c>
      <c r="G28">
        <f t="shared" si="1"/>
        <v>-7.3825503355704591E-2</v>
      </c>
      <c r="I28">
        <f t="shared" si="2"/>
        <v>0</v>
      </c>
      <c r="K28" s="23" t="s">
        <v>37</v>
      </c>
      <c r="L28" s="22">
        <f>P2</f>
        <v>5.2103994942001557E-3</v>
      </c>
      <c r="M28" s="22"/>
      <c r="N28" s="22"/>
      <c r="Q28" s="40" t="s">
        <v>56</v>
      </c>
      <c r="R28" s="40"/>
      <c r="S28" s="40"/>
      <c r="T28" s="40"/>
      <c r="U28" s="40"/>
      <c r="V28" s="40"/>
      <c r="W28" s="40"/>
    </row>
    <row r="29" spans="1:23" x14ac:dyDescent="0.5">
      <c r="A29" s="28">
        <v>0.35799999999999998</v>
      </c>
      <c r="B29" s="28">
        <v>0.29799999999999999</v>
      </c>
      <c r="C29" s="28">
        <v>0.218</v>
      </c>
      <c r="E29">
        <f t="shared" si="0"/>
        <v>-5.7894736842105332E-2</v>
      </c>
      <c r="G29">
        <f t="shared" si="1"/>
        <v>0</v>
      </c>
      <c r="I29">
        <f t="shared" si="2"/>
        <v>0</v>
      </c>
      <c r="K29" s="23" t="s">
        <v>38</v>
      </c>
      <c r="L29" s="22">
        <f>Q2</f>
        <v>6.2149378238851383E-3</v>
      </c>
      <c r="M29" s="22"/>
      <c r="N29" s="22"/>
      <c r="Q29" s="40" t="s">
        <v>50</v>
      </c>
      <c r="R29" s="40"/>
      <c r="S29" s="40"/>
      <c r="T29" s="40"/>
      <c r="U29" s="40"/>
      <c r="V29" s="40"/>
      <c r="W29" s="40"/>
    </row>
    <row r="30" spans="1:23" x14ac:dyDescent="0.5">
      <c r="A30" s="28">
        <v>0.38</v>
      </c>
      <c r="B30" s="28">
        <v>0.29799999999999999</v>
      </c>
      <c r="C30" s="28">
        <v>0.218</v>
      </c>
      <c r="E30">
        <f t="shared" si="0"/>
        <v>3.2608695652173836E-2</v>
      </c>
      <c r="G30">
        <f t="shared" si="1"/>
        <v>0</v>
      </c>
      <c r="I30">
        <f t="shared" si="2"/>
        <v>0</v>
      </c>
      <c r="K30" s="23" t="s">
        <v>39</v>
      </c>
      <c r="L30" s="22">
        <f>R2</f>
        <v>1.6719547162923605E-3</v>
      </c>
      <c r="M30" s="22"/>
      <c r="N30" s="22"/>
      <c r="Q30" s="40" t="s">
        <v>51</v>
      </c>
      <c r="R30" s="40"/>
      <c r="S30" s="40"/>
      <c r="T30" s="40"/>
      <c r="U30" s="40"/>
      <c r="V30" s="40"/>
      <c r="W30" s="40"/>
    </row>
    <row r="31" spans="1:23" x14ac:dyDescent="0.5">
      <c r="A31" s="28">
        <v>0.36799999999999999</v>
      </c>
      <c r="B31" s="28">
        <v>0.29799999999999999</v>
      </c>
      <c r="C31" s="28">
        <v>0.218</v>
      </c>
      <c r="E31">
        <f t="shared" si="0"/>
        <v>5.464480874316946E-3</v>
      </c>
      <c r="G31">
        <f t="shared" si="1"/>
        <v>4.1958041958042092E-2</v>
      </c>
      <c r="I31">
        <f t="shared" si="2"/>
        <v>0</v>
      </c>
      <c r="K31" s="24" t="s">
        <v>41</v>
      </c>
      <c r="L31" s="25"/>
      <c r="M31" s="25"/>
      <c r="N31" s="25"/>
      <c r="Q31" s="40" t="s">
        <v>52</v>
      </c>
      <c r="R31" s="40"/>
      <c r="S31" s="40"/>
      <c r="T31" s="40"/>
      <c r="U31" s="40"/>
      <c r="V31" s="40"/>
      <c r="W31" s="40"/>
    </row>
    <row r="32" spans="1:23" x14ac:dyDescent="0.5">
      <c r="A32" s="28">
        <v>0.36599999999999999</v>
      </c>
      <c r="B32" s="28">
        <v>0.28599999999999998</v>
      </c>
      <c r="C32" s="28">
        <v>0.218</v>
      </c>
      <c r="E32">
        <f t="shared" si="0"/>
        <v>1.6666666666666607E-2</v>
      </c>
      <c r="G32">
        <f t="shared" si="1"/>
        <v>0</v>
      </c>
      <c r="I32">
        <f t="shared" si="2"/>
        <v>0</v>
      </c>
      <c r="K32" s="26" t="s">
        <v>30</v>
      </c>
      <c r="L32" s="25">
        <f>T2</f>
        <v>0.30411913211698072</v>
      </c>
      <c r="M32" s="25"/>
      <c r="N32" s="25"/>
      <c r="Q32" s="40" t="s">
        <v>55</v>
      </c>
      <c r="R32" s="40"/>
      <c r="S32" s="40"/>
      <c r="T32" s="40"/>
      <c r="U32" s="40"/>
      <c r="V32" s="40"/>
      <c r="W32" s="40"/>
    </row>
    <row r="33" spans="1:23" x14ac:dyDescent="0.5">
      <c r="A33" s="28">
        <v>0.36</v>
      </c>
      <c r="B33" s="28">
        <v>0.28599999999999998</v>
      </c>
      <c r="C33" s="28">
        <v>0.218</v>
      </c>
      <c r="E33">
        <f t="shared" si="0"/>
        <v>6.5088757396449592E-2</v>
      </c>
      <c r="G33">
        <f t="shared" si="1"/>
        <v>0</v>
      </c>
      <c r="I33">
        <f t="shared" si="2"/>
        <v>0</v>
      </c>
      <c r="K33" s="26" t="s">
        <v>31</v>
      </c>
      <c r="L33" s="25">
        <f>T3</f>
        <v>0.69588086788301939</v>
      </c>
      <c r="M33" s="25"/>
      <c r="N33" s="25"/>
      <c r="Q33" s="40" t="s">
        <v>57</v>
      </c>
      <c r="R33" s="40"/>
      <c r="S33" s="40"/>
      <c r="T33" s="40"/>
      <c r="U33" s="40"/>
      <c r="V33" s="40"/>
      <c r="W33" s="40"/>
    </row>
    <row r="34" spans="1:23" x14ac:dyDescent="0.5">
      <c r="A34" s="28">
        <v>0.33800000000000002</v>
      </c>
      <c r="B34" s="28">
        <v>0.28599999999999998</v>
      </c>
      <c r="C34" s="28">
        <v>0.218</v>
      </c>
      <c r="E34">
        <f t="shared" si="0"/>
        <v>-1.1695906432748537E-2</v>
      </c>
      <c r="G34">
        <f t="shared" si="1"/>
        <v>0</v>
      </c>
      <c r="I34">
        <f t="shared" si="2"/>
        <v>0</v>
      </c>
      <c r="K34" s="26"/>
      <c r="L34" s="25"/>
      <c r="M34" s="25"/>
      <c r="N34" s="25"/>
      <c r="Q34" s="40" t="s">
        <v>68</v>
      </c>
      <c r="R34" s="40"/>
      <c r="S34" s="40"/>
      <c r="T34" s="40"/>
      <c r="U34" s="40"/>
      <c r="V34" s="40"/>
      <c r="W34" s="40"/>
    </row>
    <row r="35" spans="1:23" x14ac:dyDescent="0.5">
      <c r="A35" s="28">
        <v>0.34200000000000003</v>
      </c>
      <c r="B35" s="28">
        <v>0.28599999999999998</v>
      </c>
      <c r="C35" s="28">
        <v>0.218</v>
      </c>
      <c r="E35">
        <f t="shared" si="0"/>
        <v>5.8823529411764497E-3</v>
      </c>
      <c r="G35">
        <f t="shared" si="1"/>
        <v>-5.2980132450331174E-2</v>
      </c>
      <c r="I35">
        <f t="shared" si="2"/>
        <v>0</v>
      </c>
      <c r="K35" s="38" t="s">
        <v>45</v>
      </c>
      <c r="L35" s="29"/>
      <c r="M35" s="29"/>
      <c r="N35" s="29"/>
      <c r="Q35" s="40" t="s">
        <v>69</v>
      </c>
      <c r="R35" s="40"/>
      <c r="S35" s="40"/>
      <c r="T35" s="40"/>
      <c r="U35" s="40"/>
      <c r="V35" s="40"/>
      <c r="W35" s="40"/>
    </row>
    <row r="36" spans="1:23" x14ac:dyDescent="0.5">
      <c r="A36" s="28">
        <v>0.34</v>
      </c>
      <c r="B36" s="28">
        <v>0.30199999999999999</v>
      </c>
      <c r="C36" s="28">
        <v>0.218</v>
      </c>
      <c r="E36">
        <f t="shared" si="0"/>
        <v>0</v>
      </c>
      <c r="G36">
        <f t="shared" si="1"/>
        <v>7.0921985815602939E-2</v>
      </c>
      <c r="I36">
        <f t="shared" si="2"/>
        <v>0</v>
      </c>
      <c r="K36" s="30" t="s">
        <v>43</v>
      </c>
      <c r="L36" s="29">
        <f>1+AVERAGEIF(E2:E90,"&gt;=0")</f>
        <v>1.0223159494071694</v>
      </c>
      <c r="M36" s="29">
        <f>1+AVERAGEIF(G2:G90,"&gt;=0")</f>
        <v>1.0139802391314463</v>
      </c>
      <c r="N36" s="29">
        <f>1+AVERAGEIF(I2:I90,"&gt;=0")</f>
        <v>1.0043063380094657</v>
      </c>
      <c r="Q36" s="40" t="s">
        <v>54</v>
      </c>
      <c r="R36" s="40"/>
      <c r="S36" s="40"/>
      <c r="T36" s="40"/>
      <c r="U36" s="40"/>
      <c r="V36" s="40"/>
      <c r="W36" s="40"/>
    </row>
    <row r="37" spans="1:23" x14ac:dyDescent="0.5">
      <c r="A37" s="28">
        <v>0.34</v>
      </c>
      <c r="B37" s="28">
        <v>0.28199999999999997</v>
      </c>
      <c r="C37" s="28">
        <v>0.218</v>
      </c>
      <c r="E37">
        <f t="shared" si="0"/>
        <v>0</v>
      </c>
      <c r="G37">
        <f t="shared" si="1"/>
        <v>-5.3691275167785268E-2</v>
      </c>
      <c r="I37">
        <f t="shared" si="2"/>
        <v>0</v>
      </c>
      <c r="K37" s="30" t="s">
        <v>44</v>
      </c>
      <c r="L37" s="29">
        <f>1+AVERAGEIF(E2:E90,"&lt;=0")</f>
        <v>0.98286946804240261</v>
      </c>
      <c r="M37" s="29">
        <f>1+AVERAGEIF(G2:G90,"&lt;=0")</f>
        <v>0.99225630597000103</v>
      </c>
      <c r="N37" s="29">
        <f>1+AVERAGEIF(I2:I90,"&lt;=0")</f>
        <v>0.99739363412865845</v>
      </c>
      <c r="Q37" s="40"/>
      <c r="R37" s="40"/>
      <c r="S37" s="40"/>
      <c r="T37" s="40"/>
      <c r="U37" s="40"/>
      <c r="V37" s="40"/>
      <c r="W37" s="40"/>
    </row>
    <row r="38" spans="1:23" ht="15.7" x14ac:dyDescent="0.55000000000000004">
      <c r="A38" s="28">
        <v>0.34</v>
      </c>
      <c r="B38" s="28">
        <v>0.29799999999999999</v>
      </c>
      <c r="C38" s="28">
        <v>0.218</v>
      </c>
      <c r="E38">
        <f t="shared" si="0"/>
        <v>5.9171597633136397E-3</v>
      </c>
      <c r="G38">
        <f t="shared" si="1"/>
        <v>3.4722222222222321E-2</v>
      </c>
      <c r="I38">
        <f t="shared" si="2"/>
        <v>0</v>
      </c>
      <c r="K38" s="30" t="s">
        <v>24</v>
      </c>
      <c r="L38" s="29">
        <f>L36*L37</f>
        <v>1.0048031333650884</v>
      </c>
      <c r="M38" s="29">
        <f>M36*M37</f>
        <v>1.0061282864071472</v>
      </c>
      <c r="N38" s="29">
        <f>N36*N37</f>
        <v>1.0016887482457058</v>
      </c>
      <c r="Q38" s="53" t="s">
        <v>71</v>
      </c>
      <c r="R38" s="40"/>
      <c r="S38" s="40"/>
      <c r="T38" s="40"/>
      <c r="U38" s="40"/>
      <c r="V38" s="40"/>
      <c r="W38" s="40"/>
    </row>
    <row r="39" spans="1:23" ht="17.7" x14ac:dyDescent="0.55000000000000004">
      <c r="A39" s="28">
        <v>0.33800000000000002</v>
      </c>
      <c r="B39" s="28">
        <v>0.28799999999999998</v>
      </c>
      <c r="C39" s="28">
        <v>0.218</v>
      </c>
      <c r="E39">
        <f t="shared" si="0"/>
        <v>5.6250000000000133E-2</v>
      </c>
      <c r="G39">
        <f t="shared" si="1"/>
        <v>0</v>
      </c>
      <c r="I39">
        <f t="shared" si="2"/>
        <v>0</v>
      </c>
      <c r="K39" s="34" t="s">
        <v>67</v>
      </c>
      <c r="L39" s="35"/>
      <c r="M39" s="35"/>
      <c r="N39" s="35"/>
      <c r="O39" s="35"/>
      <c r="P39" s="35"/>
      <c r="Q39" s="35"/>
      <c r="R39" s="35"/>
    </row>
    <row r="40" spans="1:23" ht="18" x14ac:dyDescent="0.6">
      <c r="A40" s="28">
        <v>0.32</v>
      </c>
      <c r="B40" s="28">
        <v>0.28799999999999998</v>
      </c>
      <c r="C40" s="28">
        <v>0.218</v>
      </c>
      <c r="E40">
        <f t="shared" si="0"/>
        <v>-5.3254437869822535E-2</v>
      </c>
      <c r="G40">
        <f t="shared" si="1"/>
        <v>4.3478260869564966E-2</v>
      </c>
      <c r="I40">
        <f t="shared" si="2"/>
        <v>0</v>
      </c>
      <c r="K40" s="36" t="s">
        <v>48</v>
      </c>
      <c r="L40" s="35">
        <f>P2*T2+Q2*T3</f>
        <v>5.909438498883101E-3</v>
      </c>
      <c r="M40" s="35"/>
      <c r="N40" s="35"/>
      <c r="O40" s="35"/>
      <c r="P40" s="35"/>
      <c r="Q40" s="35"/>
      <c r="R40" s="35"/>
    </row>
    <row r="41" spans="1:23" ht="18" x14ac:dyDescent="0.6">
      <c r="A41" s="28">
        <v>0.33800000000000002</v>
      </c>
      <c r="B41" s="28">
        <v>0.27600000000000002</v>
      </c>
      <c r="C41" s="28">
        <v>0.218</v>
      </c>
      <c r="E41">
        <f t="shared" si="0"/>
        <v>-6.1111111111111005E-2</v>
      </c>
      <c r="G41">
        <f t="shared" si="1"/>
        <v>8.6614173228346525E-2</v>
      </c>
      <c r="I41">
        <f t="shared" si="2"/>
        <v>0</v>
      </c>
      <c r="K41" s="36" t="s">
        <v>46</v>
      </c>
      <c r="L41" s="35">
        <f>T7</f>
        <v>5.0610439413558859E-3</v>
      </c>
      <c r="M41" s="35"/>
      <c r="N41" s="35"/>
      <c r="O41" s="35"/>
      <c r="P41" s="35"/>
      <c r="Q41" s="35"/>
      <c r="R41" s="35"/>
    </row>
    <row r="42" spans="1:23" x14ac:dyDescent="0.5">
      <c r="A42" s="28">
        <v>0.36</v>
      </c>
      <c r="B42" s="28">
        <v>0.254</v>
      </c>
      <c r="C42" s="28">
        <v>0.218</v>
      </c>
      <c r="E42">
        <f t="shared" si="0"/>
        <v>0.14649681528662417</v>
      </c>
      <c r="G42">
        <f t="shared" si="1"/>
        <v>9.4827586206896575E-2</v>
      </c>
      <c r="I42">
        <f t="shared" si="2"/>
        <v>0</v>
      </c>
    </row>
    <row r="43" spans="1:23" ht="18" x14ac:dyDescent="0.6">
      <c r="A43" s="28">
        <v>0.314</v>
      </c>
      <c r="B43" s="28">
        <v>0.23200000000000001</v>
      </c>
      <c r="C43" s="28">
        <v>0.218</v>
      </c>
      <c r="E43">
        <f t="shared" si="0"/>
        <v>-3.6809815950920255E-2</v>
      </c>
      <c r="G43">
        <f t="shared" si="1"/>
        <v>9.4339622641509413E-2</v>
      </c>
      <c r="I43">
        <f t="shared" si="2"/>
        <v>0</v>
      </c>
      <c r="K43" s="51" t="s">
        <v>94</v>
      </c>
    </row>
    <row r="44" spans="1:23" ht="18" x14ac:dyDescent="0.6">
      <c r="A44" s="28">
        <v>0.32600000000000001</v>
      </c>
      <c r="B44" s="28">
        <v>0.21199999999999999</v>
      </c>
      <c r="C44" s="28">
        <v>0.218</v>
      </c>
      <c r="E44">
        <f t="shared" si="0"/>
        <v>-6.0975609756097615E-3</v>
      </c>
      <c r="G44">
        <f t="shared" si="1"/>
        <v>9.8445595854922185E-2</v>
      </c>
      <c r="I44">
        <f t="shared" si="2"/>
        <v>0</v>
      </c>
      <c r="M44" s="43" t="s">
        <v>62</v>
      </c>
    </row>
    <row r="45" spans="1:23" ht="20.7" x14ac:dyDescent="0.7">
      <c r="A45" s="28">
        <v>0.32800000000000001</v>
      </c>
      <c r="B45" s="28">
        <v>0.193</v>
      </c>
      <c r="C45" s="28">
        <v>0.218</v>
      </c>
      <c r="E45">
        <f t="shared" si="0"/>
        <v>7.1895424836601274E-2</v>
      </c>
      <c r="G45">
        <f t="shared" si="1"/>
        <v>0</v>
      </c>
      <c r="I45">
        <f t="shared" si="2"/>
        <v>0</v>
      </c>
      <c r="J45" s="41" t="s">
        <v>61</v>
      </c>
      <c r="K45" s="49">
        <v>0.01</v>
      </c>
      <c r="L45" s="41" t="s">
        <v>64</v>
      </c>
      <c r="M45" s="42"/>
      <c r="N45" s="42"/>
      <c r="O45" s="50">
        <f>-Q9*_xlfn.NORM.INV(K45,L40,SQRT(L41))</f>
        <v>239.38396394341498</v>
      </c>
      <c r="P45" s="41" t="s">
        <v>63</v>
      </c>
      <c r="Q45" s="47"/>
    </row>
    <row r="46" spans="1:23" x14ac:dyDescent="0.5">
      <c r="A46" s="28">
        <v>0.30599999999999999</v>
      </c>
      <c r="B46" s="28">
        <v>0.193</v>
      </c>
      <c r="C46" s="28">
        <v>0.218</v>
      </c>
      <c r="E46">
        <f t="shared" si="0"/>
        <v>0</v>
      </c>
      <c r="G46">
        <f t="shared" si="1"/>
        <v>0</v>
      </c>
      <c r="I46">
        <f t="shared" si="2"/>
        <v>0</v>
      </c>
    </row>
    <row r="47" spans="1:23" x14ac:dyDescent="0.5">
      <c r="A47" s="28">
        <v>0.30599999999999999</v>
      </c>
      <c r="B47" s="28">
        <v>0.193</v>
      </c>
      <c r="C47" s="28">
        <v>0.218</v>
      </c>
      <c r="E47">
        <f t="shared" si="0"/>
        <v>-7.2727272727272751E-2</v>
      </c>
      <c r="G47">
        <f t="shared" si="1"/>
        <v>9.6590909090909172E-2</v>
      </c>
      <c r="I47">
        <f t="shared" si="2"/>
        <v>0</v>
      </c>
    </row>
    <row r="48" spans="1:23" ht="20.7" x14ac:dyDescent="0.7">
      <c r="A48" s="28">
        <v>0.33</v>
      </c>
      <c r="B48" s="28">
        <v>0.17599999999999999</v>
      </c>
      <c r="C48" s="28">
        <v>0.218</v>
      </c>
      <c r="E48">
        <f t="shared" si="0"/>
        <v>0</v>
      </c>
      <c r="G48">
        <f t="shared" si="1"/>
        <v>9.9999999999999867E-2</v>
      </c>
      <c r="I48">
        <f t="shared" si="2"/>
        <v>0</v>
      </c>
      <c r="J48" s="44" t="s">
        <v>65</v>
      </c>
      <c r="K48" s="45"/>
      <c r="L48" s="45"/>
      <c r="M48" s="48">
        <v>239</v>
      </c>
      <c r="N48" s="44" t="s">
        <v>60</v>
      </c>
      <c r="O48" s="50">
        <f>1/2+1/2*ERF((-M48/Q9-L40)/SQRT(L41*2))</f>
        <v>1.009630065075251E-2</v>
      </c>
    </row>
    <row r="49" spans="1:12" x14ac:dyDescent="0.5">
      <c r="A49" s="28">
        <v>0.33</v>
      </c>
      <c r="B49" s="28">
        <v>0.16</v>
      </c>
      <c r="C49" s="28">
        <v>0.218</v>
      </c>
      <c r="E49">
        <f t="shared" si="0"/>
        <v>0</v>
      </c>
      <c r="G49">
        <f t="shared" si="1"/>
        <v>9.5890410958904271E-2</v>
      </c>
      <c r="I49">
        <f t="shared" si="2"/>
        <v>0</v>
      </c>
    </row>
    <row r="50" spans="1:12" x14ac:dyDescent="0.5">
      <c r="A50" s="28">
        <v>0.33</v>
      </c>
      <c r="B50" s="28">
        <v>0.14599999999999999</v>
      </c>
      <c r="C50" s="28">
        <v>0.218</v>
      </c>
      <c r="E50">
        <f t="shared" si="0"/>
        <v>0</v>
      </c>
      <c r="G50">
        <f t="shared" si="1"/>
        <v>0</v>
      </c>
      <c r="I50">
        <f t="shared" si="2"/>
        <v>9.5477386934673225E-2</v>
      </c>
    </row>
    <row r="51" spans="1:12" x14ac:dyDescent="0.5">
      <c r="A51" s="28">
        <v>0.33</v>
      </c>
      <c r="B51" s="28">
        <v>0.14599999999999999</v>
      </c>
      <c r="C51" s="28">
        <v>0.19900000000000001</v>
      </c>
      <c r="E51">
        <f t="shared" si="0"/>
        <v>0</v>
      </c>
      <c r="G51">
        <f t="shared" si="1"/>
        <v>0</v>
      </c>
      <c r="I51">
        <f t="shared" si="2"/>
        <v>9.9447513812154886E-2</v>
      </c>
    </row>
    <row r="52" spans="1:12" x14ac:dyDescent="0.5">
      <c r="A52" s="28">
        <v>0.33</v>
      </c>
      <c r="B52" s="28">
        <v>0.14599999999999999</v>
      </c>
      <c r="C52" s="28">
        <v>0.18099999999999999</v>
      </c>
      <c r="E52">
        <f t="shared" si="0"/>
        <v>0</v>
      </c>
      <c r="G52">
        <f t="shared" si="1"/>
        <v>0</v>
      </c>
      <c r="I52">
        <f t="shared" si="2"/>
        <v>0</v>
      </c>
    </row>
    <row r="53" spans="1:12" x14ac:dyDescent="0.5">
      <c r="A53" s="28">
        <v>0.33</v>
      </c>
      <c r="B53" s="28">
        <v>0.14599999999999999</v>
      </c>
      <c r="C53" s="28">
        <v>0.18099999999999999</v>
      </c>
      <c r="E53">
        <f t="shared" si="0"/>
        <v>0</v>
      </c>
      <c r="G53">
        <f t="shared" si="1"/>
        <v>0</v>
      </c>
      <c r="I53">
        <f t="shared" si="2"/>
        <v>0</v>
      </c>
      <c r="L53" s="46"/>
    </row>
    <row r="54" spans="1:12" x14ac:dyDescent="0.5">
      <c r="A54" s="28">
        <v>0.33</v>
      </c>
      <c r="B54" s="28">
        <v>0.14599999999999999</v>
      </c>
      <c r="C54" s="28">
        <v>0.18099999999999999</v>
      </c>
      <c r="E54">
        <f t="shared" si="0"/>
        <v>9.27152317880795E-2</v>
      </c>
      <c r="G54">
        <f t="shared" si="1"/>
        <v>0</v>
      </c>
      <c r="I54">
        <f t="shared" si="2"/>
        <v>0</v>
      </c>
    </row>
    <row r="55" spans="1:12" x14ac:dyDescent="0.5">
      <c r="A55" s="28">
        <v>0.30199999999999999</v>
      </c>
      <c r="B55" s="28">
        <v>0.14599999999999999</v>
      </c>
      <c r="C55" s="28">
        <v>0.18099999999999999</v>
      </c>
      <c r="E55">
        <f t="shared" si="0"/>
        <v>-5.031446540880502E-2</v>
      </c>
      <c r="G55">
        <f t="shared" si="1"/>
        <v>0</v>
      </c>
      <c r="I55">
        <f t="shared" si="2"/>
        <v>0</v>
      </c>
    </row>
    <row r="56" spans="1:12" x14ac:dyDescent="0.5">
      <c r="A56" s="28">
        <v>0.318</v>
      </c>
      <c r="B56" s="28">
        <v>0.14599999999999999</v>
      </c>
      <c r="C56" s="28">
        <v>0.18099999999999999</v>
      </c>
      <c r="E56">
        <f t="shared" si="0"/>
        <v>0</v>
      </c>
      <c r="G56">
        <f t="shared" si="1"/>
        <v>0</v>
      </c>
      <c r="I56">
        <f t="shared" si="2"/>
        <v>0</v>
      </c>
    </row>
    <row r="57" spans="1:12" x14ac:dyDescent="0.5">
      <c r="A57" s="28">
        <v>0.318</v>
      </c>
      <c r="B57" s="28">
        <v>0.14599999999999999</v>
      </c>
      <c r="C57" s="28">
        <v>0.18099999999999999</v>
      </c>
      <c r="E57">
        <f t="shared" si="0"/>
        <v>6.0000000000000053E-2</v>
      </c>
      <c r="G57">
        <f t="shared" si="1"/>
        <v>0</v>
      </c>
      <c r="I57">
        <f t="shared" si="2"/>
        <v>0</v>
      </c>
    </row>
    <row r="58" spans="1:12" x14ac:dyDescent="0.5">
      <c r="A58" s="28">
        <v>0.3</v>
      </c>
      <c r="B58" s="28">
        <v>0.14599999999999999</v>
      </c>
      <c r="C58" s="28">
        <v>0.18099999999999999</v>
      </c>
      <c r="E58">
        <f t="shared" si="0"/>
        <v>-1.9607843137254943E-2</v>
      </c>
      <c r="G58">
        <f t="shared" si="1"/>
        <v>0</v>
      </c>
      <c r="I58">
        <f t="shared" si="2"/>
        <v>0</v>
      </c>
    </row>
    <row r="59" spans="1:12" x14ac:dyDescent="0.5">
      <c r="A59" s="28">
        <v>0.30599999999999999</v>
      </c>
      <c r="B59" s="28">
        <v>0.14599999999999999</v>
      </c>
      <c r="C59" s="28">
        <v>0.18099999999999999</v>
      </c>
      <c r="E59">
        <f t="shared" si="0"/>
        <v>0.15909090909090895</v>
      </c>
      <c r="G59">
        <f t="shared" si="1"/>
        <v>0</v>
      </c>
      <c r="I59">
        <f t="shared" si="2"/>
        <v>0</v>
      </c>
    </row>
    <row r="60" spans="1:12" x14ac:dyDescent="0.5">
      <c r="A60" s="28">
        <v>0.26400000000000001</v>
      </c>
      <c r="B60" s="28">
        <v>0.14599999999999999</v>
      </c>
      <c r="C60" s="28">
        <v>0.18099999999999999</v>
      </c>
      <c r="E60">
        <f t="shared" si="0"/>
        <v>-0.14285714285714279</v>
      </c>
      <c r="G60">
        <f t="shared" si="1"/>
        <v>0</v>
      </c>
      <c r="I60">
        <f t="shared" si="2"/>
        <v>0</v>
      </c>
    </row>
    <row r="61" spans="1:12" x14ac:dyDescent="0.5">
      <c r="A61" s="28">
        <v>0.308</v>
      </c>
      <c r="B61" s="28">
        <v>0.14599999999999999</v>
      </c>
      <c r="C61" s="28">
        <v>0.18099999999999999</v>
      </c>
      <c r="E61">
        <f t="shared" si="0"/>
        <v>2.6666666666666616E-2</v>
      </c>
      <c r="G61">
        <f t="shared" si="1"/>
        <v>0</v>
      </c>
      <c r="I61">
        <f t="shared" si="2"/>
        <v>0</v>
      </c>
    </row>
    <row r="62" spans="1:12" x14ac:dyDescent="0.5">
      <c r="A62" s="28">
        <v>0.3</v>
      </c>
      <c r="B62" s="28">
        <v>0.14599999999999999</v>
      </c>
      <c r="C62" s="28">
        <v>0.18099999999999999</v>
      </c>
      <c r="E62">
        <f t="shared" si="0"/>
        <v>6.7114093959732557E-3</v>
      </c>
      <c r="G62">
        <f t="shared" si="1"/>
        <v>0</v>
      </c>
      <c r="I62">
        <f t="shared" si="2"/>
        <v>7.7380952380952328E-2</v>
      </c>
    </row>
    <row r="63" spans="1:12" x14ac:dyDescent="0.5">
      <c r="A63" s="28">
        <v>0.29799999999999999</v>
      </c>
      <c r="B63" s="28">
        <v>0.14599999999999999</v>
      </c>
      <c r="C63" s="28">
        <v>0.16800000000000001</v>
      </c>
      <c r="E63">
        <f t="shared" si="0"/>
        <v>6.7567567567567988E-3</v>
      </c>
      <c r="G63">
        <f t="shared" si="1"/>
        <v>0</v>
      </c>
      <c r="I63">
        <f t="shared" si="2"/>
        <v>0</v>
      </c>
    </row>
    <row r="64" spans="1:12" x14ac:dyDescent="0.5">
      <c r="A64" s="28">
        <v>0.29599999999999999</v>
      </c>
      <c r="B64" s="28">
        <v>0.14599999999999999</v>
      </c>
      <c r="C64" s="28">
        <v>0.16800000000000001</v>
      </c>
      <c r="E64">
        <f t="shared" si="0"/>
        <v>0</v>
      </c>
      <c r="G64">
        <f t="shared" si="1"/>
        <v>0</v>
      </c>
      <c r="I64">
        <f t="shared" si="2"/>
        <v>0</v>
      </c>
    </row>
    <row r="65" spans="1:9" x14ac:dyDescent="0.5">
      <c r="A65" s="28">
        <v>0.29599999999999999</v>
      </c>
      <c r="B65" s="28">
        <v>0.14599999999999999</v>
      </c>
      <c r="C65" s="28">
        <v>0.16800000000000001</v>
      </c>
      <c r="E65">
        <f t="shared" si="0"/>
        <v>3.4965034965035002E-2</v>
      </c>
      <c r="G65">
        <f t="shared" si="1"/>
        <v>0</v>
      </c>
      <c r="I65">
        <f t="shared" si="2"/>
        <v>0</v>
      </c>
    </row>
    <row r="66" spans="1:9" x14ac:dyDescent="0.5">
      <c r="A66" s="28">
        <v>0.28599999999999998</v>
      </c>
      <c r="B66" s="28">
        <v>0.14599999999999999</v>
      </c>
      <c r="C66" s="28">
        <v>0.16800000000000001</v>
      </c>
      <c r="E66">
        <f t="shared" si="0"/>
        <v>0</v>
      </c>
      <c r="G66">
        <f t="shared" si="1"/>
        <v>0</v>
      </c>
      <c r="I66">
        <f t="shared" si="2"/>
        <v>0</v>
      </c>
    </row>
    <row r="67" spans="1:9" x14ac:dyDescent="0.5">
      <c r="A67" s="28">
        <v>0.28599999999999998</v>
      </c>
      <c r="B67" s="28">
        <v>0.14599999999999999</v>
      </c>
      <c r="C67" s="28">
        <v>0.16800000000000001</v>
      </c>
      <c r="E67">
        <f t="shared" ref="E67:E91" si="3">(A67/A68)-1</f>
        <v>-6.9444444444444198E-3</v>
      </c>
      <c r="G67">
        <f t="shared" ref="G67:G91" si="4">(B67/B68)-1</f>
        <v>0</v>
      </c>
      <c r="I67">
        <f t="shared" ref="I67:I91" si="5">(C67/C68)-1</f>
        <v>0</v>
      </c>
    </row>
    <row r="68" spans="1:9" x14ac:dyDescent="0.5">
      <c r="A68" s="28">
        <v>0.28799999999999998</v>
      </c>
      <c r="B68" s="28">
        <v>0.14599999999999999</v>
      </c>
      <c r="C68" s="28">
        <v>0.16800000000000001</v>
      </c>
      <c r="E68">
        <f t="shared" si="3"/>
        <v>6.9930069930070893E-3</v>
      </c>
      <c r="G68">
        <f t="shared" si="4"/>
        <v>0</v>
      </c>
      <c r="I68">
        <f t="shared" si="5"/>
        <v>0</v>
      </c>
    </row>
    <row r="69" spans="1:9" x14ac:dyDescent="0.5">
      <c r="A69" s="28">
        <v>0.28599999999999998</v>
      </c>
      <c r="B69" s="28">
        <v>0.14599999999999999</v>
      </c>
      <c r="C69" s="28">
        <v>0.16800000000000001</v>
      </c>
      <c r="E69">
        <f t="shared" si="3"/>
        <v>5.1470588235293935E-2</v>
      </c>
      <c r="G69">
        <f t="shared" si="4"/>
        <v>0</v>
      </c>
      <c r="I69">
        <f t="shared" si="5"/>
        <v>9.8039215686274606E-2</v>
      </c>
    </row>
    <row r="70" spans="1:9" x14ac:dyDescent="0.5">
      <c r="A70" s="28">
        <v>0.27200000000000002</v>
      </c>
      <c r="B70" s="28">
        <v>0.14599999999999999</v>
      </c>
      <c r="C70" s="28">
        <v>0.153</v>
      </c>
      <c r="E70">
        <f t="shared" si="3"/>
        <v>-2.8571428571428581E-2</v>
      </c>
      <c r="G70">
        <f t="shared" si="4"/>
        <v>0</v>
      </c>
      <c r="I70">
        <f t="shared" si="5"/>
        <v>0</v>
      </c>
    </row>
    <row r="71" spans="1:9" x14ac:dyDescent="0.5">
      <c r="A71" s="28">
        <v>0.28000000000000003</v>
      </c>
      <c r="B71" s="28">
        <v>0.14599999999999999</v>
      </c>
      <c r="C71" s="28">
        <v>0.153</v>
      </c>
      <c r="E71">
        <f t="shared" si="3"/>
        <v>-6.6666666666666541E-2</v>
      </c>
      <c r="G71">
        <f t="shared" si="4"/>
        <v>0</v>
      </c>
      <c r="I71">
        <f t="shared" si="5"/>
        <v>0</v>
      </c>
    </row>
    <row r="72" spans="1:9" x14ac:dyDescent="0.5">
      <c r="A72" s="28">
        <v>0.3</v>
      </c>
      <c r="B72" s="28">
        <v>0.14599999999999999</v>
      </c>
      <c r="C72" s="28">
        <v>0.153</v>
      </c>
      <c r="E72">
        <f t="shared" si="3"/>
        <v>0</v>
      </c>
      <c r="G72">
        <f t="shared" si="4"/>
        <v>0</v>
      </c>
      <c r="I72">
        <f t="shared" si="5"/>
        <v>0</v>
      </c>
    </row>
    <row r="73" spans="1:9" x14ac:dyDescent="0.5">
      <c r="A73" s="28">
        <v>0.3</v>
      </c>
      <c r="B73" s="28">
        <v>0.14599999999999999</v>
      </c>
      <c r="C73" s="28">
        <v>0.153</v>
      </c>
      <c r="E73">
        <f t="shared" si="3"/>
        <v>0</v>
      </c>
      <c r="G73">
        <f t="shared" si="4"/>
        <v>-9.8765432098765538E-2</v>
      </c>
      <c r="I73">
        <f t="shared" si="5"/>
        <v>0</v>
      </c>
    </row>
    <row r="74" spans="1:9" x14ac:dyDescent="0.5">
      <c r="A74" s="28">
        <v>0.3</v>
      </c>
      <c r="B74" s="28">
        <v>0.16200000000000001</v>
      </c>
      <c r="C74" s="28">
        <v>0.153</v>
      </c>
      <c r="E74">
        <f t="shared" si="3"/>
        <v>-6.6225165562914245E-3</v>
      </c>
      <c r="G74">
        <f t="shared" si="4"/>
        <v>0</v>
      </c>
      <c r="I74">
        <f t="shared" si="5"/>
        <v>0</v>
      </c>
    </row>
    <row r="75" spans="1:9" x14ac:dyDescent="0.5">
      <c r="A75" s="28">
        <v>0.30199999999999999</v>
      </c>
      <c r="B75" s="28">
        <v>0.16200000000000001</v>
      </c>
      <c r="C75" s="28">
        <v>0.153</v>
      </c>
      <c r="E75">
        <f t="shared" si="3"/>
        <v>0</v>
      </c>
      <c r="G75">
        <f t="shared" si="4"/>
        <v>0</v>
      </c>
      <c r="I75">
        <f t="shared" si="5"/>
        <v>0</v>
      </c>
    </row>
    <row r="76" spans="1:9" x14ac:dyDescent="0.5">
      <c r="A76" s="28">
        <v>0.30199999999999999</v>
      </c>
      <c r="B76" s="28">
        <v>0.16200000000000001</v>
      </c>
      <c r="C76" s="28">
        <v>0.153</v>
      </c>
      <c r="E76">
        <f t="shared" si="3"/>
        <v>4.1379310344827669E-2</v>
      </c>
      <c r="G76">
        <f t="shared" si="4"/>
        <v>4.5161290322580649E-2</v>
      </c>
      <c r="I76">
        <f t="shared" si="5"/>
        <v>0</v>
      </c>
    </row>
    <row r="77" spans="1:9" x14ac:dyDescent="0.5">
      <c r="A77" s="28">
        <v>0.28999999999999998</v>
      </c>
      <c r="B77" s="28">
        <v>0.155</v>
      </c>
      <c r="C77" s="28">
        <v>0.153</v>
      </c>
      <c r="E77">
        <f t="shared" si="3"/>
        <v>0</v>
      </c>
      <c r="G77">
        <f t="shared" si="4"/>
        <v>0</v>
      </c>
      <c r="I77">
        <f t="shared" si="5"/>
        <v>0</v>
      </c>
    </row>
    <row r="78" spans="1:9" x14ac:dyDescent="0.5">
      <c r="A78" s="28">
        <v>0.28999999999999998</v>
      </c>
      <c r="B78" s="28">
        <v>0.155</v>
      </c>
      <c r="C78" s="28">
        <v>0.153</v>
      </c>
      <c r="E78">
        <f t="shared" si="3"/>
        <v>0</v>
      </c>
      <c r="G78">
        <f t="shared" si="4"/>
        <v>-6.4102564102563875E-3</v>
      </c>
      <c r="I78">
        <f t="shared" si="5"/>
        <v>0</v>
      </c>
    </row>
    <row r="79" spans="1:9" x14ac:dyDescent="0.5">
      <c r="A79" s="28">
        <v>0.28999999999999998</v>
      </c>
      <c r="B79" s="28">
        <v>0.156</v>
      </c>
      <c r="C79" s="28">
        <v>0.153</v>
      </c>
      <c r="E79">
        <f t="shared" si="3"/>
        <v>6.6176470588235059E-2</v>
      </c>
      <c r="G79">
        <f t="shared" si="4"/>
        <v>0</v>
      </c>
      <c r="I79">
        <f t="shared" si="5"/>
        <v>0</v>
      </c>
    </row>
    <row r="80" spans="1:9" x14ac:dyDescent="0.5">
      <c r="A80" s="28">
        <v>0.27200000000000002</v>
      </c>
      <c r="B80" s="28">
        <v>0.156</v>
      </c>
      <c r="C80" s="28">
        <v>0.153</v>
      </c>
      <c r="E80">
        <f t="shared" si="3"/>
        <v>-2.8571428571428581E-2</v>
      </c>
      <c r="G80">
        <f t="shared" si="4"/>
        <v>0</v>
      </c>
      <c r="I80">
        <f t="shared" si="5"/>
        <v>0</v>
      </c>
    </row>
    <row r="81" spans="1:9" x14ac:dyDescent="0.5">
      <c r="A81" s="28">
        <v>0.28000000000000003</v>
      </c>
      <c r="B81" s="28">
        <v>0.156</v>
      </c>
      <c r="C81" s="28">
        <v>0.153</v>
      </c>
      <c r="E81">
        <f t="shared" si="3"/>
        <v>0</v>
      </c>
      <c r="G81">
        <f t="shared" si="4"/>
        <v>0</v>
      </c>
      <c r="I81">
        <f t="shared" si="5"/>
        <v>0</v>
      </c>
    </row>
    <row r="82" spans="1:9" x14ac:dyDescent="0.5">
      <c r="A82" s="28">
        <v>0.28000000000000003</v>
      </c>
      <c r="B82" s="28">
        <v>0.156</v>
      </c>
      <c r="C82" s="28">
        <v>0.153</v>
      </c>
      <c r="E82">
        <f t="shared" si="3"/>
        <v>0</v>
      </c>
      <c r="G82">
        <f t="shared" si="4"/>
        <v>7.5862068965517393E-2</v>
      </c>
      <c r="I82">
        <f t="shared" si="5"/>
        <v>0</v>
      </c>
    </row>
    <row r="83" spans="1:9" x14ac:dyDescent="0.5">
      <c r="A83" s="28">
        <v>0.28000000000000003</v>
      </c>
      <c r="B83" s="28">
        <v>0.14499999999999999</v>
      </c>
      <c r="C83" s="28">
        <v>0.153</v>
      </c>
      <c r="E83">
        <f t="shared" si="3"/>
        <v>-2.7777777777777568E-2</v>
      </c>
      <c r="G83">
        <f t="shared" si="4"/>
        <v>0</v>
      </c>
      <c r="I83">
        <f t="shared" si="5"/>
        <v>0</v>
      </c>
    </row>
    <row r="84" spans="1:9" x14ac:dyDescent="0.5">
      <c r="A84" s="28">
        <v>0.28799999999999998</v>
      </c>
      <c r="B84" s="28">
        <v>0.14499999999999999</v>
      </c>
      <c r="C84" s="28">
        <v>0.153</v>
      </c>
      <c r="E84">
        <f t="shared" si="3"/>
        <v>2.857142857142847E-2</v>
      </c>
      <c r="G84">
        <f t="shared" si="4"/>
        <v>0</v>
      </c>
      <c r="I84">
        <f t="shared" si="5"/>
        <v>0</v>
      </c>
    </row>
    <row r="85" spans="1:9" x14ac:dyDescent="0.5">
      <c r="A85" s="28">
        <v>0.28000000000000003</v>
      </c>
      <c r="B85" s="28">
        <v>0.14499999999999999</v>
      </c>
      <c r="C85" s="28">
        <v>0.153</v>
      </c>
      <c r="E85">
        <f t="shared" si="3"/>
        <v>0.12000000000000011</v>
      </c>
      <c r="G85">
        <f t="shared" si="4"/>
        <v>0</v>
      </c>
      <c r="I85">
        <f t="shared" si="5"/>
        <v>0</v>
      </c>
    </row>
    <row r="86" spans="1:9" x14ac:dyDescent="0.5">
      <c r="A86" s="28">
        <v>0.25</v>
      </c>
      <c r="B86" s="28">
        <v>0.14499999999999999</v>
      </c>
      <c r="C86" s="28">
        <v>0.153</v>
      </c>
      <c r="E86">
        <f t="shared" si="3"/>
        <v>3.3057851239669533E-2</v>
      </c>
      <c r="G86">
        <f t="shared" si="4"/>
        <v>0</v>
      </c>
      <c r="I86">
        <f t="shared" si="5"/>
        <v>0</v>
      </c>
    </row>
    <row r="87" spans="1:9" x14ac:dyDescent="0.5">
      <c r="A87" s="28">
        <v>0.24199999999999999</v>
      </c>
      <c r="B87" s="28">
        <v>0.14499999999999999</v>
      </c>
      <c r="C87" s="28">
        <v>0.153</v>
      </c>
      <c r="E87">
        <f t="shared" si="3"/>
        <v>1.6806722689075571E-2</v>
      </c>
      <c r="G87">
        <f t="shared" si="4"/>
        <v>0</v>
      </c>
      <c r="I87">
        <f t="shared" si="5"/>
        <v>0</v>
      </c>
    </row>
    <row r="88" spans="1:9" x14ac:dyDescent="0.5">
      <c r="A88" s="28">
        <v>0.23799999999999999</v>
      </c>
      <c r="B88" s="28">
        <v>0.14499999999999999</v>
      </c>
      <c r="C88" s="28">
        <v>0.153</v>
      </c>
      <c r="E88">
        <f t="shared" si="3"/>
        <v>-1.6528925619834767E-2</v>
      </c>
      <c r="G88">
        <f t="shared" si="4"/>
        <v>0</v>
      </c>
      <c r="I88">
        <f t="shared" si="5"/>
        <v>0</v>
      </c>
    </row>
    <row r="89" spans="1:9" x14ac:dyDescent="0.5">
      <c r="A89" s="28">
        <v>0.24199999999999999</v>
      </c>
      <c r="B89" s="28">
        <v>0.14499999999999999</v>
      </c>
      <c r="C89" s="28">
        <v>0.153</v>
      </c>
      <c r="E89">
        <f t="shared" si="3"/>
        <v>-8.1967213114754189E-3</v>
      </c>
      <c r="G89">
        <f t="shared" si="4"/>
        <v>0</v>
      </c>
      <c r="I89">
        <f t="shared" si="5"/>
        <v>0</v>
      </c>
    </row>
    <row r="90" spans="1:9" x14ac:dyDescent="0.5">
      <c r="A90" s="28">
        <v>0.24399999999999999</v>
      </c>
      <c r="B90" s="28">
        <v>0.14499999999999999</v>
      </c>
      <c r="C90" s="28">
        <v>0.153</v>
      </c>
      <c r="E90">
        <f t="shared" si="3"/>
        <v>0</v>
      </c>
      <c r="G90">
        <f t="shared" si="4"/>
        <v>0</v>
      </c>
      <c r="I90">
        <f t="shared" si="5"/>
        <v>0</v>
      </c>
    </row>
    <row r="91" spans="1:9" x14ac:dyDescent="0.5">
      <c r="A91" s="28">
        <v>0.24399999999999999</v>
      </c>
      <c r="B91" s="28">
        <v>0.14499999999999999</v>
      </c>
      <c r="C91" s="28">
        <v>0.153</v>
      </c>
      <c r="E91" t="e">
        <f t="shared" si="3"/>
        <v>#DIV/0!</v>
      </c>
      <c r="G91" t="e">
        <f t="shared" si="4"/>
        <v>#DIV/0!</v>
      </c>
      <c r="I91" t="e">
        <f t="shared" si="5"/>
        <v>#DIV/0!</v>
      </c>
    </row>
    <row r="92" spans="1:9" x14ac:dyDescent="0.5">
      <c r="A92" s="52"/>
      <c r="C92" s="5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0A12-90EB-4AF3-BE82-F5C38C60FD61}">
  <dimension ref="A2:R202"/>
  <sheetViews>
    <sheetView workbookViewId="0">
      <selection activeCell="R3" sqref="R3:R92"/>
    </sheetView>
  </sheetViews>
  <sheetFormatPr defaultRowHeight="14.35" x14ac:dyDescent="0.5"/>
  <cols>
    <col min="1" max="8" width="4.64453125" bestFit="1" customWidth="1"/>
    <col min="9" max="9" width="4" bestFit="1" customWidth="1"/>
    <col min="10" max="13" width="4.64453125" bestFit="1" customWidth="1"/>
    <col min="16" max="18" width="4.64453125" bestFit="1" customWidth="1"/>
  </cols>
  <sheetData>
    <row r="2" spans="1:18" x14ac:dyDescent="0.5">
      <c r="A2" s="27" t="s">
        <v>42</v>
      </c>
      <c r="B2" s="27" t="s">
        <v>42</v>
      </c>
      <c r="C2" s="27" t="s">
        <v>42</v>
      </c>
      <c r="D2" s="27" t="s">
        <v>42</v>
      </c>
      <c r="E2" s="27" t="s">
        <v>42</v>
      </c>
      <c r="F2" s="27" t="s">
        <v>42</v>
      </c>
      <c r="G2" s="27" t="s">
        <v>42</v>
      </c>
      <c r="H2" s="27" t="s">
        <v>42</v>
      </c>
      <c r="I2" s="27" t="s">
        <v>42</v>
      </c>
      <c r="J2" s="27" t="s">
        <v>42</v>
      </c>
      <c r="K2" s="27" t="s">
        <v>42</v>
      </c>
      <c r="L2" s="27" t="s">
        <v>42</v>
      </c>
      <c r="M2" s="27" t="s">
        <v>42</v>
      </c>
      <c r="P2" s="27" t="s">
        <v>42</v>
      </c>
      <c r="Q2" s="27" t="s">
        <v>42</v>
      </c>
      <c r="R2" s="27" t="s">
        <v>42</v>
      </c>
    </row>
    <row r="3" spans="1:18" x14ac:dyDescent="0.5">
      <c r="A3" s="28">
        <v>0.42199999999999999</v>
      </c>
      <c r="B3" s="28">
        <v>14.56</v>
      </c>
      <c r="C3" s="28">
        <v>0.35799999999999998</v>
      </c>
      <c r="D3" s="28">
        <v>0.23599999999999999</v>
      </c>
      <c r="E3" s="28">
        <v>0.17299999999999999</v>
      </c>
      <c r="F3" s="28">
        <v>13.32</v>
      </c>
      <c r="G3" s="28">
        <v>0.74</v>
      </c>
      <c r="H3" s="28">
        <v>0.24399999999999999</v>
      </c>
      <c r="I3" s="28">
        <v>1.17</v>
      </c>
      <c r="J3" s="28">
        <v>4.3600000000000003</v>
      </c>
      <c r="K3" s="28">
        <v>0.65</v>
      </c>
      <c r="L3" s="28">
        <v>0.11</v>
      </c>
      <c r="M3" s="28">
        <v>6.69</v>
      </c>
      <c r="N3" s="28">
        <v>19.5</v>
      </c>
      <c r="P3" s="28">
        <v>2.2799999999999998</v>
      </c>
      <c r="Q3" s="28">
        <v>0.64400000000000002</v>
      </c>
      <c r="R3" s="28">
        <v>0.42799999999999999</v>
      </c>
    </row>
    <row r="4" spans="1:18" x14ac:dyDescent="0.5">
      <c r="A4" s="28">
        <v>0.442</v>
      </c>
      <c r="B4" s="28">
        <v>14.34</v>
      </c>
      <c r="C4" s="28">
        <v>0.35</v>
      </c>
      <c r="D4" s="28">
        <v>0.23599999999999999</v>
      </c>
      <c r="E4" s="28">
        <v>0.17299999999999999</v>
      </c>
      <c r="F4" s="28">
        <v>13.49</v>
      </c>
      <c r="G4" s="28">
        <v>0.70499999999999996</v>
      </c>
      <c r="H4" s="28">
        <v>0.245</v>
      </c>
      <c r="I4" s="28">
        <v>1.17</v>
      </c>
      <c r="J4" s="28">
        <v>4.3049999999999997</v>
      </c>
      <c r="K4" s="28">
        <v>0.65</v>
      </c>
      <c r="L4" s="28">
        <v>0.11</v>
      </c>
      <c r="M4" s="28">
        <v>6.74</v>
      </c>
      <c r="N4" s="28">
        <v>19.8</v>
      </c>
      <c r="P4" s="28">
        <v>2.2400000000000002</v>
      </c>
      <c r="Q4" s="28">
        <v>0.61599999999999999</v>
      </c>
      <c r="R4" s="28">
        <v>0.53500000000000003</v>
      </c>
    </row>
    <row r="5" spans="1:18" x14ac:dyDescent="0.5">
      <c r="A5" s="28">
        <v>0.42599999999999999</v>
      </c>
      <c r="B5" s="28">
        <v>14.36</v>
      </c>
      <c r="C5" s="28">
        <v>0.35</v>
      </c>
      <c r="D5" s="28">
        <v>0.23599999999999999</v>
      </c>
      <c r="E5" s="28">
        <v>0.17299999999999999</v>
      </c>
      <c r="F5" s="28">
        <v>13.36</v>
      </c>
      <c r="G5" s="28">
        <v>0.69499999999999995</v>
      </c>
      <c r="H5" s="28">
        <v>0.246</v>
      </c>
      <c r="I5" s="28">
        <v>1.17</v>
      </c>
      <c r="J5" s="28">
        <v>4.38</v>
      </c>
      <c r="K5" s="28">
        <v>0.64500000000000002</v>
      </c>
      <c r="L5" s="28">
        <v>0.11</v>
      </c>
      <c r="M5" s="28">
        <v>6.8</v>
      </c>
      <c r="N5" s="28">
        <v>19.8</v>
      </c>
      <c r="P5" s="28">
        <v>2.2200000000000002</v>
      </c>
      <c r="Q5" s="28">
        <v>0.624</v>
      </c>
      <c r="R5" s="28">
        <v>0.68600000000000005</v>
      </c>
    </row>
    <row r="6" spans="1:18" x14ac:dyDescent="0.5">
      <c r="A6" s="28">
        <v>0.42</v>
      </c>
      <c r="B6" s="28">
        <v>14.54</v>
      </c>
      <c r="C6" s="28">
        <v>0.36199999999999999</v>
      </c>
      <c r="D6" s="28">
        <v>0.25</v>
      </c>
      <c r="E6" s="28">
        <v>0.17299999999999999</v>
      </c>
      <c r="F6" s="28">
        <v>13.4</v>
      </c>
      <c r="G6" s="28">
        <v>0.69499999999999995</v>
      </c>
      <c r="H6" s="28">
        <v>0.22700000000000001</v>
      </c>
      <c r="I6" s="28">
        <v>1.17</v>
      </c>
      <c r="J6" s="28">
        <v>4.38</v>
      </c>
      <c r="K6" s="28">
        <v>0.65400000000000003</v>
      </c>
      <c r="L6" s="28">
        <v>0.11</v>
      </c>
      <c r="M6" s="28">
        <v>6.77</v>
      </c>
      <c r="N6" s="28">
        <v>19.8</v>
      </c>
      <c r="P6" s="28">
        <v>2.23</v>
      </c>
      <c r="Q6" s="28">
        <v>0.63800000000000001</v>
      </c>
      <c r="R6" s="28">
        <v>0.88</v>
      </c>
    </row>
    <row r="7" spans="1:18" x14ac:dyDescent="0.5">
      <c r="A7" s="28">
        <v>0.45200000000000001</v>
      </c>
      <c r="B7" s="28">
        <v>14.54</v>
      </c>
      <c r="C7" s="28">
        <v>0.36</v>
      </c>
      <c r="D7" s="28">
        <v>0.27600000000000002</v>
      </c>
      <c r="E7" s="28">
        <v>0.17299999999999999</v>
      </c>
      <c r="F7" s="28">
        <v>13.39</v>
      </c>
      <c r="G7" s="28">
        <v>0.73</v>
      </c>
      <c r="H7" s="28">
        <v>0.23799999999999999</v>
      </c>
      <c r="I7" s="28">
        <v>1.17</v>
      </c>
      <c r="J7" s="28">
        <v>4.41</v>
      </c>
      <c r="K7" s="28">
        <v>0.67</v>
      </c>
      <c r="L7" s="28">
        <v>0.11</v>
      </c>
      <c r="M7" s="28">
        <v>6.77</v>
      </c>
      <c r="N7" s="28">
        <v>19.5</v>
      </c>
      <c r="P7" s="28">
        <v>2.2400000000000002</v>
      </c>
      <c r="Q7" s="28">
        <v>0.64600000000000002</v>
      </c>
      <c r="R7" s="28">
        <v>0.94</v>
      </c>
    </row>
    <row r="8" spans="1:18" x14ac:dyDescent="0.5">
      <c r="A8" s="28">
        <v>0.46</v>
      </c>
      <c r="B8" s="28">
        <v>14.54</v>
      </c>
      <c r="C8" s="28">
        <v>0.36</v>
      </c>
      <c r="D8" s="28">
        <v>0.27600000000000002</v>
      </c>
      <c r="E8" s="28">
        <v>0.18</v>
      </c>
      <c r="F8" s="28">
        <v>13.1</v>
      </c>
      <c r="G8" s="28">
        <v>0.73499999999999999</v>
      </c>
      <c r="H8" s="28">
        <v>0.249</v>
      </c>
      <c r="I8" s="28">
        <v>1.17</v>
      </c>
      <c r="J8" s="28">
        <v>4.2850000000000001</v>
      </c>
      <c r="K8" s="28">
        <v>0.68</v>
      </c>
      <c r="L8" s="28">
        <v>0.11</v>
      </c>
      <c r="M8" s="28">
        <v>6.58</v>
      </c>
      <c r="N8" s="28">
        <v>19.5</v>
      </c>
      <c r="P8" s="28">
        <v>2.2400000000000002</v>
      </c>
      <c r="Q8" s="28">
        <v>0.63800000000000001</v>
      </c>
      <c r="R8" s="28">
        <v>0.745</v>
      </c>
    </row>
    <row r="9" spans="1:18" x14ac:dyDescent="0.5">
      <c r="A9" s="28">
        <v>0.44</v>
      </c>
      <c r="B9" s="28">
        <v>14.56</v>
      </c>
      <c r="C9" s="28">
        <v>0.36</v>
      </c>
      <c r="D9" s="28">
        <v>0.27600000000000002</v>
      </c>
      <c r="E9" s="28">
        <v>0.19800000000000001</v>
      </c>
      <c r="F9" s="28">
        <v>13.2</v>
      </c>
      <c r="G9" s="28">
        <v>0.73</v>
      </c>
      <c r="H9" s="28">
        <v>0.252</v>
      </c>
      <c r="I9" s="28">
        <v>1.17</v>
      </c>
      <c r="J9" s="28">
        <v>4.3499999999999996</v>
      </c>
      <c r="K9" s="28">
        <v>0.68</v>
      </c>
      <c r="L9" s="28">
        <v>0.11</v>
      </c>
      <c r="M9" s="28">
        <v>6.53</v>
      </c>
      <c r="N9" s="28">
        <v>19.5</v>
      </c>
      <c r="P9" s="28">
        <v>2.2200000000000002</v>
      </c>
      <c r="Q9" s="28">
        <v>0.63600000000000001</v>
      </c>
      <c r="R9" s="28">
        <v>0.748</v>
      </c>
    </row>
    <row r="10" spans="1:18" x14ac:dyDescent="0.5">
      <c r="A10" s="28">
        <v>0.43</v>
      </c>
      <c r="B10" s="28">
        <v>14.56</v>
      </c>
      <c r="C10" s="28">
        <v>0.35</v>
      </c>
      <c r="D10" s="28">
        <v>0.27600000000000002</v>
      </c>
      <c r="E10" s="28">
        <v>0.19800000000000001</v>
      </c>
      <c r="F10" s="28">
        <v>13.1</v>
      </c>
      <c r="G10" s="28">
        <v>0.73499999999999999</v>
      </c>
      <c r="H10" s="28">
        <v>0.252</v>
      </c>
      <c r="I10" s="28">
        <v>1.17</v>
      </c>
      <c r="J10" s="28">
        <v>4.2699999999999996</v>
      </c>
      <c r="K10" s="28">
        <v>0.69</v>
      </c>
      <c r="L10" s="28">
        <v>0.11</v>
      </c>
      <c r="M10" s="28">
        <v>6.42</v>
      </c>
      <c r="N10" s="28">
        <v>19.5</v>
      </c>
      <c r="P10" s="28">
        <v>2.23</v>
      </c>
      <c r="Q10" s="28">
        <v>0.63200000000000001</v>
      </c>
      <c r="R10" s="28">
        <v>0.73</v>
      </c>
    </row>
    <row r="11" spans="1:18" x14ac:dyDescent="0.5">
      <c r="A11" s="28">
        <v>0.44</v>
      </c>
      <c r="B11" s="28">
        <v>14.54</v>
      </c>
      <c r="C11" s="28">
        <v>0.37</v>
      </c>
      <c r="D11" s="28">
        <v>0.27600000000000002</v>
      </c>
      <c r="E11" s="28">
        <v>0.19800000000000001</v>
      </c>
      <c r="F11" s="28">
        <v>12.9</v>
      </c>
      <c r="G11" s="28">
        <v>0.755</v>
      </c>
      <c r="H11" s="28">
        <v>0.26100000000000001</v>
      </c>
      <c r="I11" s="28">
        <v>1.17</v>
      </c>
      <c r="J11" s="28">
        <v>4.29</v>
      </c>
      <c r="K11" s="28">
        <v>0.68500000000000005</v>
      </c>
      <c r="L11" s="28">
        <v>0.12</v>
      </c>
      <c r="M11" s="28">
        <v>6.37</v>
      </c>
      <c r="N11" s="28">
        <v>19.5</v>
      </c>
      <c r="P11" s="28">
        <v>2.21</v>
      </c>
      <c r="Q11" s="28">
        <v>0.64200000000000002</v>
      </c>
      <c r="R11" s="28">
        <v>0.76</v>
      </c>
    </row>
    <row r="12" spans="1:18" x14ac:dyDescent="0.5">
      <c r="A12" s="28">
        <v>0.40200000000000002</v>
      </c>
      <c r="B12" s="28">
        <v>14.42</v>
      </c>
      <c r="C12" s="28">
        <v>0.378</v>
      </c>
      <c r="D12" s="28">
        <v>0.27600000000000002</v>
      </c>
      <c r="E12" s="28">
        <v>0.19800000000000001</v>
      </c>
      <c r="F12" s="28">
        <v>12.64</v>
      </c>
      <c r="G12" s="28">
        <v>0.72</v>
      </c>
      <c r="H12" s="28">
        <v>0.248</v>
      </c>
      <c r="I12" s="28">
        <v>1.17</v>
      </c>
      <c r="J12" s="28">
        <v>4.1550000000000002</v>
      </c>
      <c r="K12" s="28">
        <v>0.67900000000000005</v>
      </c>
      <c r="L12" s="28">
        <v>0.12</v>
      </c>
      <c r="M12" s="28">
        <v>6.35</v>
      </c>
      <c r="N12" s="28">
        <v>19.5</v>
      </c>
      <c r="P12" s="28">
        <v>2.2400000000000002</v>
      </c>
      <c r="Q12" s="28">
        <v>0.64600000000000002</v>
      </c>
      <c r="R12" s="28">
        <v>0.79</v>
      </c>
    </row>
    <row r="13" spans="1:18" x14ac:dyDescent="0.5">
      <c r="A13" s="28">
        <v>0.42</v>
      </c>
      <c r="B13" s="28">
        <v>14.58</v>
      </c>
      <c r="C13" s="28">
        <v>0.38800000000000001</v>
      </c>
      <c r="D13" s="28">
        <v>0.27400000000000002</v>
      </c>
      <c r="E13" s="28">
        <v>0.218</v>
      </c>
      <c r="F13" s="28">
        <v>12.75</v>
      </c>
      <c r="G13" s="28">
        <v>0.72499999999999998</v>
      </c>
      <c r="H13" s="28">
        <v>0.248</v>
      </c>
      <c r="I13" s="28">
        <v>1.17</v>
      </c>
      <c r="J13" s="28">
        <v>4.0650000000000004</v>
      </c>
      <c r="K13" s="28">
        <v>0.67</v>
      </c>
      <c r="L13" s="28">
        <v>0.12</v>
      </c>
      <c r="M13" s="28">
        <v>6.36</v>
      </c>
      <c r="N13" s="28">
        <v>19.5</v>
      </c>
      <c r="P13" s="28">
        <v>2.2400000000000002</v>
      </c>
      <c r="Q13" s="28">
        <v>0.63400000000000001</v>
      </c>
      <c r="R13" s="28">
        <v>0.78200000000000003</v>
      </c>
    </row>
    <row r="14" spans="1:18" x14ac:dyDescent="0.5">
      <c r="A14" s="28">
        <v>0.438</v>
      </c>
      <c r="B14" s="28">
        <v>14.58</v>
      </c>
      <c r="C14" s="28">
        <v>0.38800000000000001</v>
      </c>
      <c r="D14" s="28">
        <v>0.27400000000000002</v>
      </c>
      <c r="E14" s="28">
        <v>0.218</v>
      </c>
      <c r="F14" s="28">
        <v>12.75</v>
      </c>
      <c r="G14" s="28">
        <v>0.71</v>
      </c>
      <c r="H14" s="28">
        <v>0.24399999999999999</v>
      </c>
      <c r="I14" s="28">
        <v>1.17</v>
      </c>
      <c r="J14" s="28">
        <v>4.0999999999999996</v>
      </c>
      <c r="K14" s="28">
        <v>0.66</v>
      </c>
      <c r="L14" s="28">
        <v>0.12</v>
      </c>
      <c r="M14" s="28">
        <v>6.34</v>
      </c>
      <c r="N14" s="28">
        <v>19.5</v>
      </c>
      <c r="P14" s="28">
        <v>2.25</v>
      </c>
      <c r="Q14" s="28">
        <v>0.6</v>
      </c>
      <c r="R14" s="28">
        <v>0.79400000000000004</v>
      </c>
    </row>
    <row r="15" spans="1:18" x14ac:dyDescent="0.5">
      <c r="A15" s="28">
        <v>0.44</v>
      </c>
      <c r="B15" s="28">
        <v>14.4</v>
      </c>
      <c r="C15" s="28">
        <v>0.38400000000000001</v>
      </c>
      <c r="D15" s="28">
        <v>0.27400000000000002</v>
      </c>
      <c r="E15" s="28">
        <v>0.218</v>
      </c>
      <c r="F15" s="28">
        <v>12.68</v>
      </c>
      <c r="G15" s="28">
        <v>0.72499999999999998</v>
      </c>
      <c r="H15" s="28">
        <v>0.249</v>
      </c>
      <c r="I15" s="28">
        <v>1.17</v>
      </c>
      <c r="J15" s="28">
        <v>4.0949999999999998</v>
      </c>
      <c r="K15" s="28">
        <v>0.66800000000000004</v>
      </c>
      <c r="L15" s="28">
        <v>0.12</v>
      </c>
      <c r="M15" s="28">
        <v>6.35</v>
      </c>
      <c r="N15" s="28">
        <v>19.5</v>
      </c>
      <c r="P15" s="28">
        <v>2.23</v>
      </c>
      <c r="Q15" s="28">
        <v>0.59799999999999998</v>
      </c>
      <c r="R15" s="28">
        <v>0.81</v>
      </c>
    </row>
    <row r="16" spans="1:18" x14ac:dyDescent="0.5">
      <c r="A16" s="28">
        <v>0.49</v>
      </c>
      <c r="B16" s="28">
        <v>14.38</v>
      </c>
      <c r="C16" s="28">
        <v>0.39400000000000002</v>
      </c>
      <c r="D16" s="28">
        <v>0.27400000000000002</v>
      </c>
      <c r="E16" s="28">
        <v>0.218</v>
      </c>
      <c r="F16" s="28">
        <v>12.72</v>
      </c>
      <c r="G16" s="28">
        <v>0.7</v>
      </c>
      <c r="H16" s="28">
        <v>0.26100000000000001</v>
      </c>
      <c r="I16" s="28">
        <v>1.17</v>
      </c>
      <c r="J16" s="28">
        <v>4.0999999999999996</v>
      </c>
      <c r="K16" s="28">
        <v>0.67100000000000004</v>
      </c>
      <c r="L16" s="28">
        <v>0.12</v>
      </c>
      <c r="M16" s="28">
        <v>6.33</v>
      </c>
      <c r="N16" s="28">
        <v>19.5</v>
      </c>
      <c r="P16" s="28">
        <v>2.2200000000000002</v>
      </c>
      <c r="Q16" s="28">
        <v>0.58799999999999997</v>
      </c>
      <c r="R16" s="28">
        <v>0.78500000000000003</v>
      </c>
    </row>
    <row r="17" spans="1:18" x14ac:dyDescent="0.5">
      <c r="A17" s="28">
        <v>0.45</v>
      </c>
      <c r="B17" s="28">
        <v>14.38</v>
      </c>
      <c r="C17" s="28">
        <v>0.39400000000000002</v>
      </c>
      <c r="D17" s="28">
        <v>0.27400000000000002</v>
      </c>
      <c r="E17" s="28">
        <v>0.218</v>
      </c>
      <c r="F17" s="28">
        <v>12.65</v>
      </c>
      <c r="G17" s="28">
        <v>0.73</v>
      </c>
      <c r="H17" s="28">
        <v>0.26200000000000001</v>
      </c>
      <c r="I17" s="28">
        <v>1.17</v>
      </c>
      <c r="J17" s="28">
        <v>4.08</v>
      </c>
      <c r="K17" s="28">
        <v>0.67</v>
      </c>
      <c r="L17" s="28">
        <v>0.12</v>
      </c>
      <c r="M17" s="28">
        <v>6.17</v>
      </c>
      <c r="N17" s="28">
        <v>19.5</v>
      </c>
      <c r="P17" s="28">
        <v>2.2400000000000002</v>
      </c>
      <c r="Q17" s="28">
        <v>0.58599999999999997</v>
      </c>
      <c r="R17" s="28">
        <v>0.78</v>
      </c>
    </row>
    <row r="18" spans="1:18" x14ac:dyDescent="0.5">
      <c r="A18" s="28">
        <v>0.45800000000000002</v>
      </c>
      <c r="B18" s="28">
        <v>14</v>
      </c>
      <c r="C18" s="28">
        <v>0.38</v>
      </c>
      <c r="D18" s="28">
        <v>0.27400000000000002</v>
      </c>
      <c r="E18" s="28">
        <v>0.218</v>
      </c>
      <c r="F18" s="28">
        <v>12.74</v>
      </c>
      <c r="G18" s="28">
        <v>0.72</v>
      </c>
      <c r="H18" s="28">
        <v>0.26200000000000001</v>
      </c>
      <c r="I18" s="28">
        <v>1.07</v>
      </c>
      <c r="J18" s="28">
        <v>4.04</v>
      </c>
      <c r="K18" s="28">
        <v>0.68</v>
      </c>
      <c r="L18" s="28">
        <v>0.12</v>
      </c>
      <c r="M18" s="28">
        <v>5.98</v>
      </c>
      <c r="N18" s="28">
        <v>19.5</v>
      </c>
      <c r="P18" s="28">
        <v>2.2400000000000002</v>
      </c>
      <c r="Q18" s="28">
        <v>0.59199999999999997</v>
      </c>
      <c r="R18" s="28">
        <v>0.76900000000000002</v>
      </c>
    </row>
    <row r="19" spans="1:18" x14ac:dyDescent="0.5">
      <c r="A19" s="28">
        <v>0.46</v>
      </c>
      <c r="B19" s="28">
        <v>14.08</v>
      </c>
      <c r="C19" s="28">
        <v>0.38</v>
      </c>
      <c r="D19" s="28">
        <v>0.28399999999999997</v>
      </c>
      <c r="E19" s="28">
        <v>0.218</v>
      </c>
      <c r="F19" s="28">
        <v>12.44</v>
      </c>
      <c r="G19" s="28">
        <v>0.72</v>
      </c>
      <c r="H19" s="28">
        <v>0.26400000000000001</v>
      </c>
      <c r="I19" s="28">
        <v>1.07</v>
      </c>
      <c r="J19" s="28">
        <v>4.08</v>
      </c>
      <c r="K19" s="28">
        <v>0.67700000000000005</v>
      </c>
      <c r="L19" s="28">
        <v>0.12</v>
      </c>
      <c r="M19" s="28">
        <v>6.18</v>
      </c>
      <c r="N19" s="28">
        <v>19.5</v>
      </c>
      <c r="P19" s="28">
        <v>2.23</v>
      </c>
      <c r="Q19" s="28">
        <v>0.58599999999999997</v>
      </c>
      <c r="R19" s="28">
        <v>0.754</v>
      </c>
    </row>
    <row r="20" spans="1:18" x14ac:dyDescent="0.5">
      <c r="A20" s="28">
        <v>0.46</v>
      </c>
      <c r="B20" s="28">
        <v>14.06</v>
      </c>
      <c r="C20" s="28">
        <v>0.38</v>
      </c>
      <c r="D20" s="28">
        <v>0.28399999999999997</v>
      </c>
      <c r="E20" s="28">
        <v>0.218</v>
      </c>
      <c r="F20" s="28">
        <v>12.1</v>
      </c>
      <c r="G20" s="28">
        <v>0.72</v>
      </c>
      <c r="H20" s="28">
        <v>0.25800000000000001</v>
      </c>
      <c r="I20" s="28">
        <v>1.07</v>
      </c>
      <c r="J20" s="28">
        <v>3.89</v>
      </c>
      <c r="K20" s="28">
        <v>0.67</v>
      </c>
      <c r="L20" s="28">
        <v>0.12</v>
      </c>
      <c r="M20" s="28">
        <v>6.16</v>
      </c>
      <c r="N20" s="28">
        <v>19.5</v>
      </c>
      <c r="P20" s="28">
        <v>2.23</v>
      </c>
      <c r="Q20" s="28">
        <v>0.57199999999999995</v>
      </c>
      <c r="R20" s="28">
        <v>0.75700000000000001</v>
      </c>
    </row>
    <row r="21" spans="1:18" x14ac:dyDescent="0.5">
      <c r="A21" s="28">
        <v>0.46</v>
      </c>
      <c r="B21" s="28">
        <v>14.12</v>
      </c>
      <c r="C21" s="28">
        <v>0.38</v>
      </c>
      <c r="D21" s="28">
        <v>0.28399999999999997</v>
      </c>
      <c r="E21" s="28">
        <v>0.218</v>
      </c>
      <c r="F21" s="28">
        <v>12.12</v>
      </c>
      <c r="G21" s="28">
        <v>0.72499999999999998</v>
      </c>
      <c r="H21" s="28">
        <v>0.24</v>
      </c>
      <c r="I21" s="28">
        <v>1.07</v>
      </c>
      <c r="J21" s="28">
        <v>3.88</v>
      </c>
      <c r="K21" s="28">
        <v>0.67</v>
      </c>
      <c r="L21" s="28">
        <v>0.12</v>
      </c>
      <c r="M21" s="28">
        <v>6.18</v>
      </c>
      <c r="N21" s="28">
        <v>19.5</v>
      </c>
      <c r="P21" s="28">
        <v>2.21</v>
      </c>
      <c r="Q21" s="28">
        <v>0.57999999999999996</v>
      </c>
      <c r="R21" s="28">
        <v>0.746</v>
      </c>
    </row>
    <row r="22" spans="1:18" x14ac:dyDescent="0.5">
      <c r="A22" s="28">
        <v>0.46600000000000003</v>
      </c>
      <c r="B22" s="28">
        <v>14.14</v>
      </c>
      <c r="C22" s="28">
        <v>0.36799999999999999</v>
      </c>
      <c r="D22" s="28">
        <v>0.28399999999999997</v>
      </c>
      <c r="E22" s="28">
        <v>0.218</v>
      </c>
      <c r="F22" s="28">
        <v>12.2</v>
      </c>
      <c r="G22" s="28">
        <v>0.73499999999999999</v>
      </c>
      <c r="H22" s="28">
        <v>0.25800000000000001</v>
      </c>
      <c r="I22" s="28">
        <v>0.98</v>
      </c>
      <c r="J22" s="28">
        <v>3.86</v>
      </c>
      <c r="K22" s="28">
        <v>0.68400000000000005</v>
      </c>
      <c r="L22" s="28">
        <v>0.12</v>
      </c>
      <c r="M22" s="28">
        <v>6.2</v>
      </c>
      <c r="N22" s="28">
        <v>19.5</v>
      </c>
      <c r="P22" s="28">
        <v>2.21</v>
      </c>
      <c r="Q22" s="28">
        <v>0.59399999999999997</v>
      </c>
      <c r="R22" s="28">
        <v>0.77</v>
      </c>
    </row>
    <row r="23" spans="1:18" x14ac:dyDescent="0.5">
      <c r="A23" s="28">
        <v>0.47</v>
      </c>
      <c r="B23" s="28">
        <v>14.2</v>
      </c>
      <c r="C23" s="28">
        <v>0.35799999999999998</v>
      </c>
      <c r="D23" s="28">
        <v>0.28399999999999997</v>
      </c>
      <c r="E23" s="28">
        <v>0.218</v>
      </c>
      <c r="F23" s="28">
        <v>12.31</v>
      </c>
      <c r="G23" s="28">
        <v>0.73499999999999999</v>
      </c>
      <c r="H23" s="28">
        <v>0.26</v>
      </c>
      <c r="I23" s="28">
        <v>0.98</v>
      </c>
      <c r="J23" s="28">
        <v>3.8650000000000002</v>
      </c>
      <c r="K23" s="28">
        <v>0.7</v>
      </c>
      <c r="L23" s="28">
        <v>0.12</v>
      </c>
      <c r="M23" s="28">
        <v>6.14</v>
      </c>
      <c r="N23" s="28">
        <v>19.7</v>
      </c>
      <c r="P23" s="28">
        <v>2.2200000000000002</v>
      </c>
      <c r="Q23" s="28">
        <v>0.57999999999999996</v>
      </c>
      <c r="R23" s="28">
        <v>0.76600000000000001</v>
      </c>
    </row>
    <row r="24" spans="1:18" x14ac:dyDescent="0.5">
      <c r="A24" s="28">
        <v>0.47</v>
      </c>
      <c r="B24" s="28">
        <v>14.02</v>
      </c>
      <c r="C24" s="28">
        <v>0.35799999999999998</v>
      </c>
      <c r="D24" s="28">
        <v>0.28399999999999997</v>
      </c>
      <c r="E24" s="28">
        <v>0.218</v>
      </c>
      <c r="F24" s="28">
        <v>12.39</v>
      </c>
      <c r="G24" s="28">
        <v>0.75</v>
      </c>
      <c r="H24" s="28">
        <v>0.26</v>
      </c>
      <c r="I24" s="28">
        <v>0.98</v>
      </c>
      <c r="J24" s="28">
        <v>3.77</v>
      </c>
      <c r="K24" s="28">
        <v>0.69899999999999995</v>
      </c>
      <c r="L24" s="28">
        <v>0.12</v>
      </c>
      <c r="M24" s="28">
        <v>6.1</v>
      </c>
      <c r="N24" s="28">
        <v>19.7</v>
      </c>
      <c r="P24" s="28">
        <v>2.23</v>
      </c>
      <c r="Q24" s="28">
        <v>0.58799999999999997</v>
      </c>
      <c r="R24" s="28">
        <v>0.75600000000000001</v>
      </c>
    </row>
    <row r="25" spans="1:18" x14ac:dyDescent="0.5">
      <c r="A25" s="28">
        <v>0.45</v>
      </c>
      <c r="B25" s="28">
        <v>14.38</v>
      </c>
      <c r="C25" s="28">
        <v>0.36199999999999999</v>
      </c>
      <c r="D25" s="28">
        <v>0.28399999999999997</v>
      </c>
      <c r="E25" s="28">
        <v>0.218</v>
      </c>
      <c r="F25" s="28">
        <v>12.59</v>
      </c>
      <c r="G25" s="28">
        <v>0.745</v>
      </c>
      <c r="H25" s="28">
        <v>0.26</v>
      </c>
      <c r="I25" s="28">
        <v>0.98</v>
      </c>
      <c r="J25" s="28">
        <v>3.8</v>
      </c>
      <c r="K25" s="28">
        <v>0.7</v>
      </c>
      <c r="L25" s="28">
        <v>0.12</v>
      </c>
      <c r="M25" s="28">
        <v>5.84</v>
      </c>
      <c r="N25" s="28">
        <v>19.7</v>
      </c>
      <c r="P25" s="28">
        <v>2.23</v>
      </c>
      <c r="Q25" s="28">
        <v>0.58399999999999996</v>
      </c>
      <c r="R25" s="28">
        <v>0.80200000000000005</v>
      </c>
    </row>
    <row r="26" spans="1:18" x14ac:dyDescent="0.5">
      <c r="A26" s="28">
        <v>0.47599999999999998</v>
      </c>
      <c r="B26" s="28">
        <v>14.44</v>
      </c>
      <c r="C26" s="28">
        <v>0.36</v>
      </c>
      <c r="D26" s="28">
        <v>0.28399999999999997</v>
      </c>
      <c r="E26" s="28">
        <v>0.218</v>
      </c>
      <c r="F26" s="28">
        <v>12.85</v>
      </c>
      <c r="G26" s="28">
        <v>0.69499999999999995</v>
      </c>
      <c r="H26" s="28">
        <v>0.26</v>
      </c>
      <c r="I26" s="28">
        <v>0.98</v>
      </c>
      <c r="J26" s="28">
        <v>3.8650000000000002</v>
      </c>
      <c r="K26" s="28">
        <v>0.70899999999999996</v>
      </c>
      <c r="L26" s="28">
        <v>0.12</v>
      </c>
      <c r="M26" s="28">
        <v>5.94</v>
      </c>
      <c r="N26" s="28">
        <v>19.7</v>
      </c>
      <c r="P26" s="28">
        <v>2.25</v>
      </c>
      <c r="Q26" s="28">
        <v>0.58799999999999997</v>
      </c>
      <c r="R26" s="28">
        <v>0.84</v>
      </c>
    </row>
    <row r="27" spans="1:18" x14ac:dyDescent="0.5">
      <c r="A27" s="28">
        <v>0.45</v>
      </c>
      <c r="B27" s="28">
        <v>14.4</v>
      </c>
      <c r="C27" s="28">
        <v>0.378</v>
      </c>
      <c r="D27" s="28">
        <v>0.26</v>
      </c>
      <c r="E27" s="28">
        <v>0.218</v>
      </c>
      <c r="F27" s="28">
        <v>12.6</v>
      </c>
      <c r="G27" s="28">
        <v>0.65</v>
      </c>
      <c r="H27" s="28">
        <v>0.26</v>
      </c>
      <c r="I27" s="28">
        <v>0.98</v>
      </c>
      <c r="J27" s="28">
        <v>3.9</v>
      </c>
      <c r="K27" s="28">
        <v>0.69799999999999995</v>
      </c>
      <c r="L27" s="28">
        <v>0.12</v>
      </c>
      <c r="M27" s="28">
        <v>6</v>
      </c>
      <c r="N27" s="28">
        <v>19.7</v>
      </c>
      <c r="P27" s="28">
        <v>2.25</v>
      </c>
      <c r="Q27" s="28">
        <v>0.59799999999999998</v>
      </c>
      <c r="R27" s="28">
        <v>0.81499999999999995</v>
      </c>
    </row>
    <row r="28" spans="1:18" x14ac:dyDescent="0.5">
      <c r="A28" s="28">
        <v>0.48399999999999999</v>
      </c>
      <c r="B28" s="28">
        <v>14.24</v>
      </c>
      <c r="C28" s="28">
        <v>0.36</v>
      </c>
      <c r="D28" s="28">
        <v>0.25</v>
      </c>
      <c r="E28" s="28">
        <v>0.218</v>
      </c>
      <c r="F28" s="28">
        <v>12.25</v>
      </c>
      <c r="G28" s="28">
        <v>0.64</v>
      </c>
      <c r="H28" s="28">
        <v>0.251</v>
      </c>
      <c r="I28" s="28">
        <v>0.98</v>
      </c>
      <c r="J28" s="28">
        <v>3.81</v>
      </c>
      <c r="K28" s="28">
        <v>0.67</v>
      </c>
      <c r="L28" s="28">
        <v>0.12</v>
      </c>
      <c r="M28" s="28">
        <v>5.97</v>
      </c>
      <c r="N28" s="28">
        <v>19.7</v>
      </c>
      <c r="P28" s="28">
        <v>2.23</v>
      </c>
      <c r="Q28" s="28">
        <v>0.59</v>
      </c>
      <c r="R28" s="28">
        <v>0.746</v>
      </c>
    </row>
    <row r="29" spans="1:18" x14ac:dyDescent="0.5">
      <c r="A29" s="28">
        <v>0.41199999999999998</v>
      </c>
      <c r="B29" s="28">
        <v>14.2</v>
      </c>
      <c r="C29" s="28">
        <v>0.36799999999999999</v>
      </c>
      <c r="D29" s="28">
        <v>0.27600000000000002</v>
      </c>
      <c r="E29" s="28">
        <v>0.218</v>
      </c>
      <c r="F29" s="28">
        <v>12.3</v>
      </c>
      <c r="G29" s="28">
        <v>0.65</v>
      </c>
      <c r="H29" s="28">
        <v>0.255</v>
      </c>
      <c r="I29" s="28">
        <v>0.98</v>
      </c>
      <c r="J29" s="28">
        <v>3.8149999999999999</v>
      </c>
      <c r="K29" s="28">
        <v>0.67900000000000005</v>
      </c>
      <c r="L29" s="28">
        <v>0.12</v>
      </c>
      <c r="M29" s="28">
        <v>5.93</v>
      </c>
      <c r="N29" s="28">
        <v>19.7</v>
      </c>
      <c r="P29" s="28">
        <v>2.25</v>
      </c>
      <c r="Q29" s="28">
        <v>0.56999999999999995</v>
      </c>
      <c r="R29" s="28">
        <v>0.71499999999999997</v>
      </c>
    </row>
    <row r="30" spans="1:18" x14ac:dyDescent="0.5">
      <c r="A30" s="28">
        <v>0.44</v>
      </c>
      <c r="B30" s="28">
        <v>14.08</v>
      </c>
      <c r="C30" s="28">
        <v>0.35799999999999998</v>
      </c>
      <c r="D30" s="28">
        <v>0.29799999999999999</v>
      </c>
      <c r="E30" s="28">
        <v>0.218</v>
      </c>
      <c r="F30" s="28">
        <v>12.2</v>
      </c>
      <c r="G30" s="28">
        <v>0.63</v>
      </c>
      <c r="H30" s="28">
        <v>0.26</v>
      </c>
      <c r="I30" s="28">
        <v>0.98</v>
      </c>
      <c r="J30" s="28">
        <v>3.8</v>
      </c>
      <c r="K30" s="28">
        <v>0.66500000000000004</v>
      </c>
      <c r="L30" s="28">
        <v>0.12</v>
      </c>
      <c r="M30" s="28">
        <v>5.6</v>
      </c>
      <c r="N30" s="28">
        <v>19.7</v>
      </c>
      <c r="P30" s="28">
        <v>2.25</v>
      </c>
      <c r="Q30" s="28">
        <v>0.56799999999999995</v>
      </c>
      <c r="R30" s="28">
        <v>0.77200000000000002</v>
      </c>
    </row>
    <row r="31" spans="1:18" x14ac:dyDescent="0.5">
      <c r="A31" s="28">
        <v>0.44800000000000001</v>
      </c>
      <c r="B31" s="28">
        <v>14.02</v>
      </c>
      <c r="C31" s="28">
        <v>0.38</v>
      </c>
      <c r="D31" s="28">
        <v>0.29799999999999999</v>
      </c>
      <c r="E31" s="28">
        <v>0.218</v>
      </c>
      <c r="F31" s="28">
        <v>12.2</v>
      </c>
      <c r="G31" s="28">
        <v>0.63</v>
      </c>
      <c r="H31" s="28">
        <v>0.26500000000000001</v>
      </c>
      <c r="I31" s="28">
        <v>0.98</v>
      </c>
      <c r="J31" s="28">
        <v>3.7850000000000001</v>
      </c>
      <c r="K31" s="28">
        <v>0.64500000000000002</v>
      </c>
      <c r="L31" s="28">
        <v>0.12</v>
      </c>
      <c r="M31" s="28">
        <v>5.57</v>
      </c>
      <c r="N31" s="28">
        <v>19.7</v>
      </c>
      <c r="P31" s="28">
        <v>2.2599999999999998</v>
      </c>
      <c r="Q31" s="28">
        <v>0.56799999999999995</v>
      </c>
      <c r="R31" s="28">
        <v>0.82</v>
      </c>
    </row>
    <row r="32" spans="1:18" x14ac:dyDescent="0.5">
      <c r="A32" s="28">
        <v>0.44</v>
      </c>
      <c r="B32" s="28">
        <v>14.6</v>
      </c>
      <c r="C32" s="28">
        <v>0.36799999999999999</v>
      </c>
      <c r="D32" s="28">
        <v>0.29799999999999999</v>
      </c>
      <c r="E32" s="28">
        <v>0.218</v>
      </c>
      <c r="F32" s="28">
        <v>12.52</v>
      </c>
      <c r="G32" s="28">
        <v>0.67</v>
      </c>
      <c r="H32" s="28">
        <v>0.26500000000000001</v>
      </c>
      <c r="I32" s="28">
        <v>0.98</v>
      </c>
      <c r="J32" s="28">
        <v>3.89</v>
      </c>
      <c r="K32" s="28">
        <v>0.66700000000000004</v>
      </c>
      <c r="L32" s="28">
        <v>0.12</v>
      </c>
      <c r="M32" s="28">
        <v>5.74</v>
      </c>
      <c r="N32" s="28">
        <v>19.7</v>
      </c>
      <c r="P32" s="28">
        <v>2.27</v>
      </c>
      <c r="Q32" s="28">
        <v>0.57399999999999995</v>
      </c>
      <c r="R32" s="28">
        <v>0.874</v>
      </c>
    </row>
    <row r="33" spans="1:18" x14ac:dyDescent="0.5">
      <c r="A33" s="28">
        <v>0.42199999999999999</v>
      </c>
      <c r="B33" s="28">
        <v>14</v>
      </c>
      <c r="C33" s="28">
        <v>0.36599999999999999</v>
      </c>
      <c r="D33" s="28">
        <v>0.28599999999999998</v>
      </c>
      <c r="E33" s="28">
        <v>0.218</v>
      </c>
      <c r="F33" s="28">
        <v>12.4</v>
      </c>
      <c r="G33" s="28">
        <v>0.68</v>
      </c>
      <c r="H33" s="28">
        <v>0.24299999999999999</v>
      </c>
      <c r="I33" s="28">
        <v>0.98</v>
      </c>
      <c r="J33" s="28">
        <v>3.85</v>
      </c>
      <c r="K33" s="28">
        <v>0.64900000000000002</v>
      </c>
      <c r="L33" s="28">
        <v>0.12</v>
      </c>
      <c r="M33" s="28">
        <v>5.65</v>
      </c>
      <c r="N33" s="28">
        <v>19.7</v>
      </c>
      <c r="P33" s="28">
        <v>2.2400000000000002</v>
      </c>
      <c r="Q33" s="28">
        <v>0.57399999999999995</v>
      </c>
      <c r="R33" s="28">
        <v>0.84899999999999998</v>
      </c>
    </row>
    <row r="34" spans="1:18" x14ac:dyDescent="0.5">
      <c r="A34" s="28">
        <v>0.43</v>
      </c>
      <c r="B34" s="28">
        <v>14.12</v>
      </c>
      <c r="C34" s="28">
        <v>0.36</v>
      </c>
      <c r="D34" s="28">
        <v>0.28599999999999998</v>
      </c>
      <c r="E34" s="28">
        <v>0.218</v>
      </c>
      <c r="F34" s="28">
        <v>12.48</v>
      </c>
      <c r="G34" s="28">
        <v>0.66500000000000004</v>
      </c>
      <c r="H34" s="28">
        <v>0.245</v>
      </c>
      <c r="I34" s="28">
        <v>0.98</v>
      </c>
      <c r="J34" s="28">
        <v>3.82</v>
      </c>
      <c r="K34" s="28">
        <v>0.64100000000000001</v>
      </c>
      <c r="L34" s="28">
        <v>0.12</v>
      </c>
      <c r="M34" s="28">
        <v>5.73</v>
      </c>
      <c r="N34" s="28">
        <v>19.7</v>
      </c>
      <c r="P34" s="28">
        <v>2.2000000000000002</v>
      </c>
      <c r="Q34" s="28">
        <v>0.57999999999999996</v>
      </c>
      <c r="R34" s="28">
        <v>0.84499999999999997</v>
      </c>
    </row>
    <row r="35" spans="1:18" x14ac:dyDescent="0.5">
      <c r="A35" s="28">
        <v>0.42</v>
      </c>
      <c r="B35" s="28">
        <v>14.4</v>
      </c>
      <c r="C35" s="28">
        <v>0.33800000000000002</v>
      </c>
      <c r="D35" s="28">
        <v>0.28599999999999998</v>
      </c>
      <c r="E35" s="28">
        <v>0.218</v>
      </c>
      <c r="F35" s="28">
        <v>12.47</v>
      </c>
      <c r="G35" s="28">
        <v>0.68</v>
      </c>
      <c r="H35" s="28">
        <v>0.26500000000000001</v>
      </c>
      <c r="I35" s="28">
        <v>0.98</v>
      </c>
      <c r="J35" s="28">
        <v>3.84</v>
      </c>
      <c r="K35" s="28">
        <v>0.64100000000000001</v>
      </c>
      <c r="L35" s="28">
        <v>0.12</v>
      </c>
      <c r="M35" s="28">
        <v>5.8</v>
      </c>
      <c r="N35" s="28">
        <v>19.5</v>
      </c>
      <c r="P35" s="28">
        <v>2.27</v>
      </c>
      <c r="Q35" s="28">
        <v>0.58599999999999997</v>
      </c>
      <c r="R35" s="28">
        <v>0.85599999999999998</v>
      </c>
    </row>
    <row r="36" spans="1:18" x14ac:dyDescent="0.5">
      <c r="A36" s="28">
        <v>0.44</v>
      </c>
      <c r="B36" s="28">
        <v>14.34</v>
      </c>
      <c r="C36" s="28">
        <v>0.34200000000000003</v>
      </c>
      <c r="D36" s="28">
        <v>0.28599999999999998</v>
      </c>
      <c r="E36" s="28">
        <v>0.218</v>
      </c>
      <c r="F36" s="28">
        <v>12.42</v>
      </c>
      <c r="G36" s="28">
        <v>0.68500000000000005</v>
      </c>
      <c r="H36" s="28">
        <v>0.26600000000000001</v>
      </c>
      <c r="I36" s="28">
        <v>0.98</v>
      </c>
      <c r="J36" s="28">
        <v>3.81</v>
      </c>
      <c r="K36" s="28">
        <v>0.64100000000000001</v>
      </c>
      <c r="L36" s="28">
        <v>0.12</v>
      </c>
      <c r="M36" s="28">
        <v>5.72</v>
      </c>
      <c r="N36" s="28">
        <v>19.5</v>
      </c>
      <c r="P36" s="28">
        <v>2.2799999999999998</v>
      </c>
      <c r="Q36" s="28">
        <v>0.58599999999999997</v>
      </c>
      <c r="R36" s="28">
        <v>0.86499999999999999</v>
      </c>
    </row>
    <row r="37" spans="1:18" x14ac:dyDescent="0.5">
      <c r="A37" s="28">
        <v>0.42</v>
      </c>
      <c r="B37" s="28">
        <v>14.3</v>
      </c>
      <c r="C37" s="28">
        <v>0.34</v>
      </c>
      <c r="D37" s="28">
        <v>0.30199999999999999</v>
      </c>
      <c r="E37" s="28">
        <v>0.218</v>
      </c>
      <c r="F37" s="28">
        <v>11.97</v>
      </c>
      <c r="G37" s="28">
        <v>0.67</v>
      </c>
      <c r="H37" s="28">
        <v>0.248</v>
      </c>
      <c r="I37" s="28">
        <v>0.98</v>
      </c>
      <c r="J37" s="28">
        <v>3.8050000000000002</v>
      </c>
      <c r="K37" s="28">
        <v>0.63400000000000001</v>
      </c>
      <c r="L37" s="28">
        <v>0.12</v>
      </c>
      <c r="M37" s="28">
        <v>5.65</v>
      </c>
      <c r="N37" s="28">
        <v>19.5</v>
      </c>
      <c r="P37" s="28">
        <v>2.2400000000000002</v>
      </c>
      <c r="Q37" s="28">
        <v>0.59599999999999997</v>
      </c>
      <c r="R37" s="28">
        <v>0.89</v>
      </c>
    </row>
    <row r="38" spans="1:18" x14ac:dyDescent="0.5">
      <c r="A38" s="28">
        <v>0.42199999999999999</v>
      </c>
      <c r="B38" s="28">
        <v>14.48</v>
      </c>
      <c r="C38" s="28">
        <v>0.34</v>
      </c>
      <c r="D38" s="28">
        <v>0.28199999999999997</v>
      </c>
      <c r="E38" s="28">
        <v>0.218</v>
      </c>
      <c r="F38" s="28">
        <v>12</v>
      </c>
      <c r="G38" s="28">
        <v>0.67500000000000004</v>
      </c>
      <c r="H38" s="28">
        <v>0.24399999999999999</v>
      </c>
      <c r="I38" s="28">
        <v>0.98</v>
      </c>
      <c r="J38" s="28">
        <v>3.77</v>
      </c>
      <c r="K38" s="28">
        <v>0.628</v>
      </c>
      <c r="L38" s="28">
        <v>0.12</v>
      </c>
      <c r="M38" s="28">
        <v>5.5</v>
      </c>
      <c r="N38" s="28">
        <v>19.5</v>
      </c>
      <c r="P38" s="28">
        <v>2.3199999999999998</v>
      </c>
      <c r="Q38" s="28">
        <v>0.58799999999999997</v>
      </c>
      <c r="R38" s="28">
        <v>0.9</v>
      </c>
    </row>
    <row r="39" spans="1:18" x14ac:dyDescent="0.5">
      <c r="A39" s="28">
        <v>0.45</v>
      </c>
      <c r="B39" s="28">
        <v>14.5</v>
      </c>
      <c r="C39" s="28">
        <v>0.34</v>
      </c>
      <c r="D39" s="28">
        <v>0.29799999999999999</v>
      </c>
      <c r="E39" s="28">
        <v>0.218</v>
      </c>
      <c r="F39" s="28">
        <v>12.11</v>
      </c>
      <c r="G39" s="28">
        <v>0.71</v>
      </c>
      <c r="H39" s="28">
        <v>0.24199999999999999</v>
      </c>
      <c r="I39" s="28">
        <v>0.98</v>
      </c>
      <c r="J39" s="28">
        <v>3.79</v>
      </c>
      <c r="K39" s="28">
        <v>0.64</v>
      </c>
      <c r="L39" s="28">
        <v>0.12</v>
      </c>
      <c r="M39" s="28">
        <v>5.55</v>
      </c>
      <c r="N39" s="28">
        <v>19.7</v>
      </c>
      <c r="P39" s="28">
        <v>2.3199999999999998</v>
      </c>
      <c r="Q39" s="28">
        <v>0.59799999999999998</v>
      </c>
      <c r="R39" s="28">
        <v>0.92</v>
      </c>
    </row>
    <row r="40" spans="1:18" x14ac:dyDescent="0.5">
      <c r="A40" s="28">
        <v>0.45</v>
      </c>
      <c r="B40" s="28">
        <v>14.38</v>
      </c>
      <c r="C40" s="28">
        <v>0.33800000000000002</v>
      </c>
      <c r="D40" s="28">
        <v>0.28799999999999998</v>
      </c>
      <c r="E40" s="28">
        <v>0.218</v>
      </c>
      <c r="F40" s="28">
        <v>12.07</v>
      </c>
      <c r="G40" s="28">
        <v>0.7</v>
      </c>
      <c r="H40" s="28">
        <v>0.23499999999999999</v>
      </c>
      <c r="I40" s="28">
        <v>0.98</v>
      </c>
      <c r="J40" s="28">
        <v>3.84</v>
      </c>
      <c r="K40" s="28">
        <v>0.62</v>
      </c>
      <c r="L40" s="28">
        <v>0.12</v>
      </c>
      <c r="M40" s="28">
        <v>5.59</v>
      </c>
      <c r="N40" s="28">
        <v>19.600000000000001</v>
      </c>
      <c r="P40" s="28">
        <v>2.31</v>
      </c>
      <c r="Q40" s="28">
        <v>0.56999999999999995</v>
      </c>
      <c r="R40" s="28">
        <v>0.89</v>
      </c>
    </row>
    <row r="41" spans="1:18" x14ac:dyDescent="0.5">
      <c r="A41" s="28">
        <v>0.47599999999999998</v>
      </c>
      <c r="B41" s="28">
        <v>14.76</v>
      </c>
      <c r="C41" s="28">
        <v>0.32</v>
      </c>
      <c r="D41" s="28">
        <v>0.28799999999999998</v>
      </c>
      <c r="E41" s="28">
        <v>0.218</v>
      </c>
      <c r="F41" s="28">
        <v>12.32</v>
      </c>
      <c r="G41" s="28">
        <v>0.71</v>
      </c>
      <c r="H41" s="28">
        <v>0.25900000000000001</v>
      </c>
      <c r="I41" s="28">
        <v>0.98</v>
      </c>
      <c r="J41" s="28">
        <v>3.85</v>
      </c>
      <c r="K41" s="28">
        <v>0.64900000000000002</v>
      </c>
      <c r="L41" s="28">
        <v>0.12</v>
      </c>
      <c r="M41" s="28">
        <v>5.68</v>
      </c>
      <c r="N41" s="28">
        <v>19.600000000000001</v>
      </c>
      <c r="P41" s="28">
        <v>2.35</v>
      </c>
      <c r="Q41" s="28">
        <v>0.59</v>
      </c>
      <c r="R41" s="28">
        <v>0.92800000000000005</v>
      </c>
    </row>
    <row r="42" spans="1:18" x14ac:dyDescent="0.5">
      <c r="A42" s="28">
        <v>0.45800000000000002</v>
      </c>
      <c r="B42" s="28">
        <v>14.6</v>
      </c>
      <c r="C42" s="28">
        <v>0.33800000000000002</v>
      </c>
      <c r="D42" s="28">
        <v>0.27600000000000002</v>
      </c>
      <c r="E42" s="28">
        <v>0.218</v>
      </c>
      <c r="F42" s="28">
        <v>12.24</v>
      </c>
      <c r="G42" s="28">
        <v>0.70499999999999996</v>
      </c>
      <c r="H42" s="28">
        <v>0.26900000000000002</v>
      </c>
      <c r="I42" s="28">
        <v>0.98</v>
      </c>
      <c r="J42" s="28">
        <v>3.85</v>
      </c>
      <c r="K42" s="28">
        <v>0.65</v>
      </c>
      <c r="L42" s="28">
        <v>0.12</v>
      </c>
      <c r="M42" s="28">
        <v>5.6</v>
      </c>
      <c r="N42" s="28">
        <v>19.5</v>
      </c>
      <c r="P42" s="28">
        <v>2.3199999999999998</v>
      </c>
      <c r="Q42" s="28">
        <v>0.56999999999999995</v>
      </c>
      <c r="R42" s="28">
        <v>0.92100000000000004</v>
      </c>
    </row>
    <row r="43" spans="1:18" x14ac:dyDescent="0.5">
      <c r="A43" s="28">
        <v>0.44800000000000001</v>
      </c>
      <c r="B43" s="28">
        <v>14.76</v>
      </c>
      <c r="C43" s="28">
        <v>0.36</v>
      </c>
      <c r="D43" s="28">
        <v>0.254</v>
      </c>
      <c r="E43" s="28">
        <v>0.218</v>
      </c>
      <c r="F43" s="28">
        <v>12.62</v>
      </c>
      <c r="G43" s="28">
        <v>0.73</v>
      </c>
      <c r="H43" s="28">
        <v>0.26700000000000002</v>
      </c>
      <c r="I43" s="28">
        <v>0.98</v>
      </c>
      <c r="J43" s="28">
        <v>3.92</v>
      </c>
      <c r="K43" s="28">
        <v>0.65800000000000003</v>
      </c>
      <c r="L43" s="28">
        <v>0.12</v>
      </c>
      <c r="M43" s="28">
        <v>5.75</v>
      </c>
      <c r="N43" s="28">
        <v>19.7</v>
      </c>
      <c r="P43" s="28">
        <v>2.35</v>
      </c>
      <c r="Q43" s="28">
        <v>0.57599999999999996</v>
      </c>
      <c r="R43" s="28">
        <v>1.0169999999999999</v>
      </c>
    </row>
    <row r="44" spans="1:18" x14ac:dyDescent="0.5">
      <c r="A44" s="28">
        <v>0.46</v>
      </c>
      <c r="B44" s="28">
        <v>14.94</v>
      </c>
      <c r="C44" s="28">
        <v>0.314</v>
      </c>
      <c r="D44" s="28">
        <v>0.23200000000000001</v>
      </c>
      <c r="E44" s="28">
        <v>0.218</v>
      </c>
      <c r="F44" s="28">
        <v>12.88</v>
      </c>
      <c r="G44" s="28">
        <v>0.755</v>
      </c>
      <c r="H44" s="28">
        <v>0.27500000000000002</v>
      </c>
      <c r="I44" s="28">
        <v>0.98</v>
      </c>
      <c r="J44" s="28">
        <v>3.96</v>
      </c>
      <c r="K44" s="28">
        <v>0.66900000000000004</v>
      </c>
      <c r="L44" s="28">
        <v>0.12</v>
      </c>
      <c r="M44" s="28">
        <v>5.9</v>
      </c>
      <c r="N44" s="28">
        <v>19.5</v>
      </c>
      <c r="P44" s="28">
        <v>2.36</v>
      </c>
      <c r="Q44" s="28">
        <v>0.59599999999999997</v>
      </c>
      <c r="R44" s="28">
        <v>1.05</v>
      </c>
    </row>
    <row r="45" spans="1:18" x14ac:dyDescent="0.5">
      <c r="A45" s="28">
        <v>0.46</v>
      </c>
      <c r="B45" s="28">
        <v>14.94</v>
      </c>
      <c r="C45" s="28">
        <v>0.32600000000000001</v>
      </c>
      <c r="D45" s="28">
        <v>0.21199999999999999</v>
      </c>
      <c r="E45" s="28">
        <v>0.218</v>
      </c>
      <c r="F45" s="28">
        <v>13</v>
      </c>
      <c r="G45" s="28">
        <v>0.76500000000000001</v>
      </c>
      <c r="H45" s="28">
        <v>0.26500000000000001</v>
      </c>
      <c r="I45" s="28">
        <v>0.98</v>
      </c>
      <c r="J45" s="28">
        <v>3.95</v>
      </c>
      <c r="K45" s="28">
        <v>0.67400000000000004</v>
      </c>
      <c r="L45" s="28">
        <v>0.12</v>
      </c>
      <c r="M45" s="28">
        <v>5.84</v>
      </c>
      <c r="N45" s="28">
        <v>19.5</v>
      </c>
      <c r="P45" s="28">
        <v>2.38</v>
      </c>
      <c r="Q45" s="28">
        <v>0.59399999999999997</v>
      </c>
      <c r="R45" s="28">
        <v>1.08</v>
      </c>
    </row>
    <row r="46" spans="1:18" x14ac:dyDescent="0.5">
      <c r="A46" s="28">
        <v>0.48199999999999998</v>
      </c>
      <c r="B46" s="28">
        <v>14.9</v>
      </c>
      <c r="C46" s="28">
        <v>0.32800000000000001</v>
      </c>
      <c r="D46" s="28">
        <v>0.193</v>
      </c>
      <c r="E46" s="28">
        <v>0.218</v>
      </c>
      <c r="F46" s="28">
        <v>13.05</v>
      </c>
      <c r="G46" s="28">
        <v>0.77</v>
      </c>
      <c r="H46" s="28">
        <v>0.26800000000000002</v>
      </c>
      <c r="I46" s="28">
        <v>0.98</v>
      </c>
      <c r="J46" s="28">
        <v>3.9649999999999999</v>
      </c>
      <c r="K46" s="28">
        <v>0.67</v>
      </c>
      <c r="L46" s="28">
        <v>0.12</v>
      </c>
      <c r="M46" s="28">
        <v>5.81</v>
      </c>
      <c r="N46" s="28">
        <v>19.5</v>
      </c>
      <c r="P46" s="28">
        <v>2.35</v>
      </c>
      <c r="Q46" s="28">
        <v>0.61</v>
      </c>
      <c r="R46" s="28">
        <v>1.109</v>
      </c>
    </row>
    <row r="47" spans="1:18" x14ac:dyDescent="0.5">
      <c r="A47" s="28">
        <v>0.49</v>
      </c>
      <c r="B47" s="28">
        <v>14.62</v>
      </c>
      <c r="C47" s="28">
        <v>0.30599999999999999</v>
      </c>
      <c r="D47" s="28">
        <v>0.193</v>
      </c>
      <c r="E47" s="28">
        <v>0.218</v>
      </c>
      <c r="F47" s="28">
        <v>13.02</v>
      </c>
      <c r="G47" s="28">
        <v>0.78</v>
      </c>
      <c r="H47" s="28">
        <v>0.253</v>
      </c>
      <c r="I47" s="28">
        <v>0.98</v>
      </c>
      <c r="J47" s="28">
        <v>3.9350000000000001</v>
      </c>
      <c r="K47" s="28">
        <v>0.66900000000000004</v>
      </c>
      <c r="L47" s="28">
        <v>0.12</v>
      </c>
      <c r="M47" s="28">
        <v>5.68</v>
      </c>
      <c r="N47" s="28">
        <v>19.5</v>
      </c>
      <c r="P47" s="28">
        <v>2.4</v>
      </c>
      <c r="Q47" s="28">
        <v>0.59</v>
      </c>
      <c r="R47" s="28">
        <v>1.08</v>
      </c>
    </row>
    <row r="48" spans="1:18" x14ac:dyDescent="0.5">
      <c r="A48" s="28">
        <v>0.44</v>
      </c>
      <c r="B48" s="28">
        <v>14.88</v>
      </c>
      <c r="C48" s="28">
        <v>0.30599999999999999</v>
      </c>
      <c r="D48" s="28">
        <v>0.193</v>
      </c>
      <c r="E48" s="28">
        <v>0.218</v>
      </c>
      <c r="F48" s="28">
        <v>13.01</v>
      </c>
      <c r="G48" s="28">
        <v>0.77</v>
      </c>
      <c r="H48" s="28">
        <v>0.26900000000000002</v>
      </c>
      <c r="I48" s="28">
        <v>0.98</v>
      </c>
      <c r="J48" s="28">
        <v>3.8849999999999998</v>
      </c>
      <c r="K48" s="28">
        <v>0.67200000000000004</v>
      </c>
      <c r="L48" s="28">
        <v>0.12</v>
      </c>
      <c r="M48" s="28">
        <v>5.74</v>
      </c>
      <c r="N48" s="28">
        <v>19.5</v>
      </c>
      <c r="P48" s="28">
        <v>2.41</v>
      </c>
      <c r="Q48" s="28">
        <v>0.58599999999999997</v>
      </c>
      <c r="R48" s="28">
        <v>1.1299999999999999</v>
      </c>
    </row>
    <row r="49" spans="1:18" x14ac:dyDescent="0.5">
      <c r="A49" s="28">
        <v>0.45600000000000002</v>
      </c>
      <c r="B49" s="28">
        <v>14.9</v>
      </c>
      <c r="C49" s="28">
        <v>0.33</v>
      </c>
      <c r="D49" s="28">
        <v>0.17599999999999999</v>
      </c>
      <c r="E49" s="28">
        <v>0.218</v>
      </c>
      <c r="F49" s="28">
        <v>13.13</v>
      </c>
      <c r="G49" s="28">
        <v>0.77</v>
      </c>
      <c r="H49" s="28">
        <v>0.26</v>
      </c>
      <c r="I49" s="28">
        <v>0.98</v>
      </c>
      <c r="J49" s="28">
        <v>3.92</v>
      </c>
      <c r="K49" s="28">
        <v>0.68100000000000005</v>
      </c>
      <c r="L49" s="28">
        <v>0.12</v>
      </c>
      <c r="M49" s="28">
        <v>5.74</v>
      </c>
      <c r="N49" s="28">
        <v>19.5</v>
      </c>
      <c r="P49" s="28">
        <v>2.4300000000000002</v>
      </c>
      <c r="Q49" s="28">
        <v>0.59</v>
      </c>
      <c r="R49" s="28">
        <v>1.1499999999999999</v>
      </c>
    </row>
    <row r="50" spans="1:18" x14ac:dyDescent="0.5">
      <c r="A50" s="28">
        <v>0.45600000000000002</v>
      </c>
      <c r="B50" s="28">
        <v>14.88</v>
      </c>
      <c r="C50" s="28">
        <v>0.33</v>
      </c>
      <c r="D50" s="28">
        <v>0.16</v>
      </c>
      <c r="E50" s="28">
        <v>0.218</v>
      </c>
      <c r="F50" s="28">
        <v>13.13</v>
      </c>
      <c r="G50" s="28">
        <v>0.71</v>
      </c>
      <c r="H50" s="28">
        <v>0.26800000000000002</v>
      </c>
      <c r="I50" s="28">
        <v>0.98</v>
      </c>
      <c r="J50" s="28">
        <v>3.91</v>
      </c>
      <c r="K50" s="28">
        <v>0.66500000000000004</v>
      </c>
      <c r="L50" s="28">
        <v>0.12</v>
      </c>
      <c r="M50" s="28">
        <v>5.7</v>
      </c>
      <c r="N50" s="28">
        <v>19.5</v>
      </c>
      <c r="P50" s="28">
        <v>2.3199999999999998</v>
      </c>
      <c r="Q50" s="28">
        <v>0.6</v>
      </c>
      <c r="R50" s="28">
        <v>1.1599999999999999</v>
      </c>
    </row>
    <row r="51" spans="1:18" x14ac:dyDescent="0.5">
      <c r="A51" s="28">
        <v>0.47799999999999998</v>
      </c>
      <c r="B51" s="28">
        <v>14.6</v>
      </c>
      <c r="C51" s="28">
        <v>0.33</v>
      </c>
      <c r="D51" s="28">
        <v>0.14599999999999999</v>
      </c>
      <c r="E51" s="28">
        <v>0.218</v>
      </c>
      <c r="F51" s="28">
        <v>13</v>
      </c>
      <c r="G51" s="28">
        <v>0.66500000000000004</v>
      </c>
      <c r="H51" s="28">
        <v>0.26</v>
      </c>
      <c r="I51" s="28">
        <v>1.08</v>
      </c>
      <c r="J51" s="28">
        <v>3.96</v>
      </c>
      <c r="K51" s="28">
        <v>0.67</v>
      </c>
      <c r="L51" s="28">
        <v>0.12</v>
      </c>
      <c r="M51" s="28">
        <v>5.8</v>
      </c>
      <c r="N51" s="28">
        <v>19.5</v>
      </c>
      <c r="P51" s="28">
        <v>2.2450000000000001</v>
      </c>
      <c r="Q51" s="28">
        <v>0.59</v>
      </c>
      <c r="R51" s="28">
        <v>1.145</v>
      </c>
    </row>
    <row r="52" spans="1:18" x14ac:dyDescent="0.5">
      <c r="A52" s="28">
        <v>0.47799999999999998</v>
      </c>
      <c r="B52" s="28">
        <v>14.6</v>
      </c>
      <c r="C52" s="28">
        <v>0.33</v>
      </c>
      <c r="D52" s="28">
        <v>0.14599999999999999</v>
      </c>
      <c r="E52" s="28">
        <v>0.19900000000000001</v>
      </c>
      <c r="F52" s="28">
        <v>13</v>
      </c>
      <c r="G52" s="28">
        <v>0.62</v>
      </c>
      <c r="H52" s="28">
        <v>0.28000000000000003</v>
      </c>
      <c r="I52" s="28">
        <v>1.08</v>
      </c>
      <c r="J52" s="28">
        <v>3.96</v>
      </c>
      <c r="K52" s="28">
        <v>0.69499999999999995</v>
      </c>
      <c r="L52" s="28">
        <v>0.12</v>
      </c>
      <c r="M52" s="28">
        <v>5.85</v>
      </c>
      <c r="N52" s="28">
        <v>19.5</v>
      </c>
      <c r="P52" s="28">
        <v>2.2919999999999998</v>
      </c>
      <c r="Q52" s="28">
        <v>0.58199999999999996</v>
      </c>
      <c r="R52" s="28">
        <v>1.1739999999999999</v>
      </c>
    </row>
    <row r="53" spans="1:18" x14ac:dyDescent="0.5">
      <c r="A53" s="28">
        <v>0.45</v>
      </c>
      <c r="B53" s="28">
        <v>14.6</v>
      </c>
      <c r="C53" s="28">
        <v>0.33</v>
      </c>
      <c r="D53" s="28">
        <v>0.14599999999999999</v>
      </c>
      <c r="E53" s="28">
        <v>0.18099999999999999</v>
      </c>
      <c r="F53" s="28">
        <v>13.32</v>
      </c>
      <c r="G53" s="28">
        <v>0.65500000000000003</v>
      </c>
      <c r="H53" s="28">
        <v>0.28999999999999998</v>
      </c>
      <c r="I53" s="28">
        <v>1.08</v>
      </c>
      <c r="J53" s="28">
        <v>4.03</v>
      </c>
      <c r="K53" s="28">
        <v>0.72</v>
      </c>
      <c r="L53" s="28">
        <v>0.12</v>
      </c>
      <c r="M53" s="28">
        <v>6.02</v>
      </c>
      <c r="N53" s="28">
        <v>19.5</v>
      </c>
      <c r="P53" s="28">
        <v>2.2829999999999999</v>
      </c>
      <c r="Q53" s="28">
        <v>0.62</v>
      </c>
      <c r="R53" s="28">
        <v>1.25</v>
      </c>
    </row>
    <row r="54" spans="1:18" x14ac:dyDescent="0.5">
      <c r="A54" s="28">
        <v>0.45</v>
      </c>
      <c r="B54" s="28">
        <v>14.5</v>
      </c>
      <c r="C54" s="28">
        <v>0.33</v>
      </c>
      <c r="D54" s="28">
        <v>0.14599999999999999</v>
      </c>
      <c r="E54" s="28">
        <v>0.18099999999999999</v>
      </c>
      <c r="F54" s="28">
        <v>13.35</v>
      </c>
      <c r="G54" s="28">
        <v>0.66</v>
      </c>
      <c r="H54" s="28">
        <v>0.29899999999999999</v>
      </c>
      <c r="I54" s="28">
        <v>1.2</v>
      </c>
      <c r="J54" s="28">
        <v>4.0149999999999997</v>
      </c>
      <c r="K54" s="28">
        <v>0.73499999999999999</v>
      </c>
      <c r="L54" s="28">
        <v>0.12</v>
      </c>
      <c r="M54" s="28">
        <v>6</v>
      </c>
      <c r="N54" s="28">
        <v>19.5</v>
      </c>
      <c r="P54" s="28">
        <v>2.2829999999999999</v>
      </c>
      <c r="Q54" s="28">
        <v>0.60799999999999998</v>
      </c>
      <c r="R54" s="28">
        <v>1.244</v>
      </c>
    </row>
    <row r="55" spans="1:18" x14ac:dyDescent="0.5">
      <c r="A55" s="28">
        <v>0.46</v>
      </c>
      <c r="B55" s="28">
        <v>14.1</v>
      </c>
      <c r="C55" s="28">
        <v>0.33</v>
      </c>
      <c r="D55" s="28">
        <v>0.14599999999999999</v>
      </c>
      <c r="E55" s="28">
        <v>0.18099999999999999</v>
      </c>
      <c r="F55" s="28">
        <v>13.5</v>
      </c>
      <c r="G55" s="28">
        <v>0.69</v>
      </c>
      <c r="H55" s="28">
        <v>0.30599999999999999</v>
      </c>
      <c r="I55" s="28">
        <v>1.2</v>
      </c>
      <c r="J55" s="28">
        <v>4.0149999999999997</v>
      </c>
      <c r="K55" s="28">
        <v>0.74</v>
      </c>
      <c r="L55" s="28">
        <v>0.12</v>
      </c>
      <c r="M55" s="28">
        <v>6.11</v>
      </c>
      <c r="N55" s="28">
        <v>19.7</v>
      </c>
      <c r="P55" s="28">
        <v>2.2919999999999998</v>
      </c>
      <c r="Q55" s="28">
        <v>0.63</v>
      </c>
      <c r="R55" s="28">
        <v>1.25</v>
      </c>
    </row>
    <row r="56" spans="1:18" x14ac:dyDescent="0.5">
      <c r="A56" s="28">
        <v>0.48</v>
      </c>
      <c r="B56" s="28">
        <v>14.4</v>
      </c>
      <c r="C56" s="28">
        <v>0.30199999999999999</v>
      </c>
      <c r="D56" s="28">
        <v>0.14599999999999999</v>
      </c>
      <c r="E56" s="28">
        <v>0.18099999999999999</v>
      </c>
      <c r="F56" s="28">
        <v>13.39</v>
      </c>
      <c r="G56" s="28">
        <v>0.69</v>
      </c>
      <c r="H56" s="28">
        <v>0.3</v>
      </c>
      <c r="I56" s="28">
        <v>1.2</v>
      </c>
      <c r="J56" s="28">
        <v>4.09</v>
      </c>
      <c r="K56" s="28">
        <v>0.76</v>
      </c>
      <c r="L56" s="28">
        <v>0.12</v>
      </c>
      <c r="M56" s="28">
        <v>6.14</v>
      </c>
      <c r="N56" s="28">
        <v>19.7</v>
      </c>
      <c r="P56" s="28">
        <v>2.3010000000000002</v>
      </c>
      <c r="Q56" s="28">
        <v>0.64400000000000002</v>
      </c>
      <c r="R56" s="28">
        <v>1.2410000000000001</v>
      </c>
    </row>
    <row r="57" spans="1:18" x14ac:dyDescent="0.5">
      <c r="A57" s="28">
        <v>0.47</v>
      </c>
      <c r="B57" s="28">
        <v>13.74</v>
      </c>
      <c r="C57" s="28">
        <v>0.318</v>
      </c>
      <c r="D57" s="28">
        <v>0.14599999999999999</v>
      </c>
      <c r="E57" s="28">
        <v>0.18099999999999999</v>
      </c>
      <c r="F57" s="28">
        <v>13.18</v>
      </c>
      <c r="G57" s="28">
        <v>0.73499999999999999</v>
      </c>
      <c r="H57" s="28">
        <v>0.30599999999999999</v>
      </c>
      <c r="I57" s="28">
        <v>1.2</v>
      </c>
      <c r="J57" s="28">
        <v>4</v>
      </c>
      <c r="K57" s="28">
        <v>0.76400000000000001</v>
      </c>
      <c r="L57" s="28">
        <v>0.12</v>
      </c>
      <c r="M57" s="28">
        <v>6.12</v>
      </c>
      <c r="N57" s="28">
        <v>20</v>
      </c>
      <c r="P57" s="28">
        <v>2.3199999999999998</v>
      </c>
      <c r="Q57" s="28">
        <v>0.65</v>
      </c>
      <c r="R57" s="28">
        <v>1.3</v>
      </c>
    </row>
    <row r="58" spans="1:18" x14ac:dyDescent="0.5">
      <c r="A58" s="28">
        <v>0.46</v>
      </c>
      <c r="B58" s="28">
        <v>13.92</v>
      </c>
      <c r="C58" s="28">
        <v>0.318</v>
      </c>
      <c r="D58" s="28">
        <v>0.14599999999999999</v>
      </c>
      <c r="E58" s="28">
        <v>0.18099999999999999</v>
      </c>
      <c r="F58" s="28">
        <v>13.34</v>
      </c>
      <c r="G58" s="28">
        <v>0.72</v>
      </c>
      <c r="H58" s="28">
        <v>0.29799999999999999</v>
      </c>
      <c r="I58" s="28">
        <v>1.2</v>
      </c>
      <c r="J58" s="28">
        <v>3.9849999999999999</v>
      </c>
      <c r="K58" s="28">
        <v>0.72</v>
      </c>
      <c r="L58" s="28">
        <v>0.12</v>
      </c>
      <c r="M58" s="28">
        <v>6.09</v>
      </c>
      <c r="N58" s="28">
        <v>20</v>
      </c>
      <c r="P58" s="28">
        <v>2.3109999999999999</v>
      </c>
      <c r="Q58" s="28">
        <v>0.66600000000000004</v>
      </c>
      <c r="R58" s="28">
        <v>1.2769999999999999</v>
      </c>
    </row>
    <row r="59" spans="1:18" x14ac:dyDescent="0.5">
      <c r="A59" s="28">
        <v>0.46</v>
      </c>
      <c r="B59" s="28">
        <v>13.8</v>
      </c>
      <c r="C59" s="28">
        <v>0.3</v>
      </c>
      <c r="D59" s="28">
        <v>0.14599999999999999</v>
      </c>
      <c r="E59" s="28">
        <v>0.18099999999999999</v>
      </c>
      <c r="F59" s="28">
        <v>13.41</v>
      </c>
      <c r="G59" s="28">
        <v>0.68</v>
      </c>
      <c r="H59" s="28">
        <v>0.28399999999999997</v>
      </c>
      <c r="I59" s="28">
        <v>1.2</v>
      </c>
      <c r="J59" s="28">
        <v>3.87</v>
      </c>
      <c r="K59" s="28">
        <v>0.71199999999999997</v>
      </c>
      <c r="L59" s="28">
        <v>0.12</v>
      </c>
      <c r="M59" s="28">
        <v>6.18</v>
      </c>
      <c r="N59" s="28">
        <v>20</v>
      </c>
      <c r="P59" s="28">
        <v>2.3199999999999998</v>
      </c>
      <c r="Q59" s="28">
        <v>0.66</v>
      </c>
      <c r="R59" s="28">
        <v>1.25</v>
      </c>
    </row>
    <row r="60" spans="1:18" x14ac:dyDescent="0.5">
      <c r="A60" s="28">
        <v>0.46</v>
      </c>
      <c r="B60" s="28">
        <v>13.9</v>
      </c>
      <c r="C60" s="28">
        <v>0.30599999999999999</v>
      </c>
      <c r="D60" s="28">
        <v>0.14599999999999999</v>
      </c>
      <c r="E60" s="28">
        <v>0.18099999999999999</v>
      </c>
      <c r="F60" s="28">
        <v>13.4</v>
      </c>
      <c r="G60" s="28">
        <v>0.7</v>
      </c>
      <c r="H60" s="28">
        <v>0.27400000000000002</v>
      </c>
      <c r="I60" s="28">
        <v>1.2</v>
      </c>
      <c r="J60" s="28">
        <v>3.87</v>
      </c>
      <c r="K60" s="28">
        <v>0.71599999999999997</v>
      </c>
      <c r="L60" s="28">
        <v>0.12</v>
      </c>
      <c r="M60" s="28">
        <v>6.34</v>
      </c>
      <c r="N60" s="28">
        <v>20</v>
      </c>
      <c r="P60" s="28">
        <v>2.2919999999999998</v>
      </c>
      <c r="Q60" s="28">
        <v>0.622</v>
      </c>
      <c r="R60" s="28">
        <v>1.23</v>
      </c>
    </row>
    <row r="61" spans="1:18" x14ac:dyDescent="0.5">
      <c r="A61" s="28">
        <v>0.44</v>
      </c>
      <c r="B61" s="28">
        <v>13.68</v>
      </c>
      <c r="C61" s="28">
        <v>0.26400000000000001</v>
      </c>
      <c r="D61" s="28">
        <v>0.14599999999999999</v>
      </c>
      <c r="E61" s="28">
        <v>0.18099999999999999</v>
      </c>
      <c r="F61" s="28">
        <v>12.93</v>
      </c>
      <c r="G61" s="28">
        <v>0.58499999999999996</v>
      </c>
      <c r="H61" s="28">
        <v>0.25900000000000001</v>
      </c>
      <c r="I61" s="28">
        <v>1.2</v>
      </c>
      <c r="J61" s="28">
        <v>3.78</v>
      </c>
      <c r="K61" s="28">
        <v>0.68300000000000005</v>
      </c>
      <c r="L61" s="28">
        <v>0.12</v>
      </c>
      <c r="M61" s="28">
        <v>5.92</v>
      </c>
      <c r="N61" s="28">
        <v>20</v>
      </c>
      <c r="P61" s="28">
        <v>2.2360000000000002</v>
      </c>
      <c r="Q61" s="28">
        <v>0.54600000000000004</v>
      </c>
      <c r="R61" s="28">
        <v>1.069</v>
      </c>
    </row>
    <row r="62" spans="1:18" x14ac:dyDescent="0.5">
      <c r="A62" s="28">
        <v>0.42</v>
      </c>
      <c r="B62" s="28">
        <v>13.86</v>
      </c>
      <c r="C62" s="28">
        <v>0.308</v>
      </c>
      <c r="D62" s="28">
        <v>0.14599999999999999</v>
      </c>
      <c r="E62" s="28">
        <v>0.18099999999999999</v>
      </c>
      <c r="F62" s="28">
        <v>12.56</v>
      </c>
      <c r="G62" s="28">
        <v>0.53</v>
      </c>
      <c r="H62" s="28">
        <v>0.245</v>
      </c>
      <c r="I62" s="28">
        <v>1.2</v>
      </c>
      <c r="J62" s="28">
        <v>3.79</v>
      </c>
      <c r="K62" s="28">
        <v>0.69</v>
      </c>
      <c r="L62" s="28">
        <v>0.12</v>
      </c>
      <c r="M62" s="28">
        <v>6</v>
      </c>
      <c r="N62" s="28">
        <v>20</v>
      </c>
      <c r="P62" s="28">
        <v>2.2730000000000001</v>
      </c>
      <c r="Q62" s="28">
        <v>0.54</v>
      </c>
      <c r="R62" s="28">
        <v>1.0860000000000001</v>
      </c>
    </row>
    <row r="63" spans="1:18" x14ac:dyDescent="0.5">
      <c r="A63" s="28">
        <v>0.39800000000000002</v>
      </c>
      <c r="B63" s="28">
        <v>13.8</v>
      </c>
      <c r="C63" s="28">
        <v>0.3</v>
      </c>
      <c r="D63" s="28">
        <v>0.14599999999999999</v>
      </c>
      <c r="E63" s="28">
        <v>0.18099999999999999</v>
      </c>
      <c r="F63" s="28">
        <v>12.56</v>
      </c>
      <c r="G63" s="28">
        <v>0.49399999999999999</v>
      </c>
      <c r="H63" s="28">
        <v>0.24299999999999999</v>
      </c>
      <c r="I63" s="28">
        <v>1.2</v>
      </c>
      <c r="J63" s="28">
        <v>3.78</v>
      </c>
      <c r="K63" s="28">
        <v>0.69599999999999995</v>
      </c>
      <c r="L63" s="28">
        <v>0.12</v>
      </c>
      <c r="M63" s="28">
        <v>6</v>
      </c>
      <c r="N63" s="28">
        <v>20</v>
      </c>
      <c r="P63" s="28">
        <v>2.2360000000000002</v>
      </c>
      <c r="Q63" s="28">
        <v>0.54</v>
      </c>
      <c r="R63" s="28">
        <v>1.083</v>
      </c>
    </row>
    <row r="64" spans="1:18" x14ac:dyDescent="0.5">
      <c r="A64" s="28">
        <v>0.434</v>
      </c>
      <c r="B64" s="28">
        <v>14</v>
      </c>
      <c r="C64" s="28">
        <v>0.29799999999999999</v>
      </c>
      <c r="D64" s="28">
        <v>0.14599999999999999</v>
      </c>
      <c r="E64" s="28">
        <v>0.16800000000000001</v>
      </c>
      <c r="F64" s="28">
        <v>12.85</v>
      </c>
      <c r="G64" s="28">
        <v>0.505</v>
      </c>
      <c r="H64" s="28">
        <v>0.247</v>
      </c>
      <c r="I64" s="28">
        <v>1.1499999999999999</v>
      </c>
      <c r="J64" s="28">
        <v>3.82</v>
      </c>
      <c r="K64" s="28">
        <v>0.72</v>
      </c>
      <c r="L64" s="28">
        <v>0.12</v>
      </c>
      <c r="M64" s="28">
        <v>6.38</v>
      </c>
      <c r="N64" s="28">
        <v>20</v>
      </c>
      <c r="P64" s="28">
        <v>2.2919999999999998</v>
      </c>
      <c r="Q64" s="28">
        <v>0.56999999999999995</v>
      </c>
      <c r="R64" s="28">
        <v>1.1970000000000001</v>
      </c>
    </row>
    <row r="65" spans="1:18" x14ac:dyDescent="0.5">
      <c r="A65" s="28">
        <v>0.42</v>
      </c>
      <c r="B65" s="28">
        <v>13.94</v>
      </c>
      <c r="C65" s="28">
        <v>0.29599999999999999</v>
      </c>
      <c r="D65" s="28">
        <v>0.14599999999999999</v>
      </c>
      <c r="E65" s="28">
        <v>0.16800000000000001</v>
      </c>
      <c r="F65" s="28">
        <v>12.72</v>
      </c>
      <c r="G65" s="28">
        <v>0.51</v>
      </c>
      <c r="H65" s="28">
        <v>0.25900000000000001</v>
      </c>
      <c r="I65" s="28">
        <v>1.05</v>
      </c>
      <c r="J65" s="28">
        <v>3.9</v>
      </c>
      <c r="K65" s="28">
        <v>0.71799999999999997</v>
      </c>
      <c r="L65" s="28">
        <v>0.12</v>
      </c>
      <c r="M65" s="28">
        <v>6.36</v>
      </c>
      <c r="N65" s="28">
        <v>19.8</v>
      </c>
      <c r="P65" s="28">
        <v>2.2919999999999998</v>
      </c>
      <c r="Q65" s="28">
        <v>0.59399999999999997</v>
      </c>
      <c r="R65" s="28">
        <v>1.1759999999999999</v>
      </c>
    </row>
    <row r="66" spans="1:18" x14ac:dyDescent="0.5">
      <c r="A66" s="28">
        <v>0.44</v>
      </c>
      <c r="B66" s="28">
        <v>14.1</v>
      </c>
      <c r="C66" s="28">
        <v>0.29599999999999999</v>
      </c>
      <c r="D66" s="28">
        <v>0.14599999999999999</v>
      </c>
      <c r="E66" s="28">
        <v>0.16800000000000001</v>
      </c>
      <c r="F66" s="28">
        <v>12.58</v>
      </c>
      <c r="G66" s="28">
        <v>0.51</v>
      </c>
      <c r="H66" s="28">
        <v>0.22800000000000001</v>
      </c>
      <c r="I66" s="28">
        <v>1.05</v>
      </c>
      <c r="J66" s="28">
        <v>3.875</v>
      </c>
      <c r="K66" s="28">
        <v>0.71399999999999997</v>
      </c>
      <c r="L66" s="28">
        <v>0.128</v>
      </c>
      <c r="M66" s="28">
        <v>6.19</v>
      </c>
      <c r="N66" s="28">
        <v>19.5</v>
      </c>
      <c r="P66" s="28">
        <v>2.2730000000000001</v>
      </c>
      <c r="Q66" s="28">
        <v>0.57399999999999995</v>
      </c>
      <c r="R66" s="28">
        <v>1.2150000000000001</v>
      </c>
    </row>
    <row r="67" spans="1:18" x14ac:dyDescent="0.5">
      <c r="A67" s="28">
        <v>0.45</v>
      </c>
      <c r="B67" s="28">
        <v>13.94</v>
      </c>
      <c r="C67" s="28">
        <v>0.28599999999999998</v>
      </c>
      <c r="D67" s="28">
        <v>0.14599999999999999</v>
      </c>
      <c r="E67" s="28">
        <v>0.16800000000000001</v>
      </c>
      <c r="F67" s="28">
        <v>12.82</v>
      </c>
      <c r="G67" s="28">
        <v>0.51500000000000001</v>
      </c>
      <c r="H67" s="28">
        <v>0.22500000000000001</v>
      </c>
      <c r="I67" s="28">
        <v>1.05</v>
      </c>
      <c r="J67" s="28">
        <v>3.8149999999999999</v>
      </c>
      <c r="K67" s="28">
        <v>0.70699999999999996</v>
      </c>
      <c r="L67" s="28">
        <v>0.128</v>
      </c>
      <c r="M67" s="28">
        <v>5.85</v>
      </c>
      <c r="N67" s="28">
        <v>19.8</v>
      </c>
      <c r="P67" s="28">
        <v>2.2450000000000001</v>
      </c>
      <c r="Q67" s="28">
        <v>0.57999999999999996</v>
      </c>
      <c r="R67" s="28">
        <v>1.28</v>
      </c>
    </row>
    <row r="68" spans="1:18" x14ac:dyDescent="0.5">
      <c r="A68" s="28">
        <v>0.45</v>
      </c>
      <c r="B68" s="28">
        <v>14</v>
      </c>
      <c r="C68" s="28">
        <v>0.28599999999999998</v>
      </c>
      <c r="D68" s="28">
        <v>0.14599999999999999</v>
      </c>
      <c r="E68" s="28">
        <v>0.16800000000000001</v>
      </c>
      <c r="F68" s="28">
        <v>12.96</v>
      </c>
      <c r="G68" s="28">
        <v>0.52500000000000002</v>
      </c>
      <c r="H68" s="28">
        <v>0.217</v>
      </c>
      <c r="I68" s="28">
        <v>1.1599999999999999</v>
      </c>
      <c r="J68" s="28">
        <v>3.89</v>
      </c>
      <c r="K68" s="28">
        <v>0.68</v>
      </c>
      <c r="L68" s="28">
        <v>0.128</v>
      </c>
      <c r="M68" s="28">
        <v>5.95</v>
      </c>
      <c r="N68" s="28">
        <v>19.8</v>
      </c>
      <c r="P68" s="28">
        <v>2.2080000000000002</v>
      </c>
      <c r="Q68" s="28">
        <v>0.57999999999999996</v>
      </c>
      <c r="R68" s="28">
        <v>1.2729999999999999</v>
      </c>
    </row>
    <row r="69" spans="1:18" x14ac:dyDescent="0.5">
      <c r="A69" s="28">
        <v>0.45400000000000001</v>
      </c>
      <c r="B69" s="28">
        <v>14.08</v>
      </c>
      <c r="C69" s="28">
        <v>0.28799999999999998</v>
      </c>
      <c r="D69" s="28">
        <v>0.14599999999999999</v>
      </c>
      <c r="E69" s="28">
        <v>0.16800000000000001</v>
      </c>
      <c r="F69" s="28">
        <v>13.05</v>
      </c>
      <c r="G69" s="28">
        <v>0.52</v>
      </c>
      <c r="H69" s="28">
        <v>0.21199999999999999</v>
      </c>
      <c r="I69" s="28">
        <v>1.1599999999999999</v>
      </c>
      <c r="J69" s="28">
        <v>3.8849999999999998</v>
      </c>
      <c r="K69" s="28">
        <v>0.64400000000000002</v>
      </c>
      <c r="L69" s="28">
        <v>0.128</v>
      </c>
      <c r="M69" s="28">
        <v>5.76</v>
      </c>
      <c r="N69" s="28">
        <v>20</v>
      </c>
      <c r="P69" s="28">
        <v>2.2170000000000001</v>
      </c>
      <c r="Q69" s="28">
        <v>0.56999999999999995</v>
      </c>
      <c r="R69" s="28">
        <v>1.22</v>
      </c>
    </row>
    <row r="70" spans="1:18" x14ac:dyDescent="0.5">
      <c r="A70" s="28">
        <v>0.45</v>
      </c>
      <c r="B70" s="28">
        <v>14</v>
      </c>
      <c r="C70" s="28">
        <v>0.28599999999999998</v>
      </c>
      <c r="D70" s="28">
        <v>0.14599999999999999</v>
      </c>
      <c r="E70" s="28">
        <v>0.16800000000000001</v>
      </c>
      <c r="F70" s="28">
        <v>13.5</v>
      </c>
      <c r="G70" s="28">
        <v>0.51</v>
      </c>
      <c r="H70" s="28">
        <v>0.217</v>
      </c>
      <c r="I70" s="28">
        <v>1.1599999999999999</v>
      </c>
      <c r="J70" s="28">
        <v>3.86</v>
      </c>
      <c r="K70" s="28">
        <v>0.63800000000000001</v>
      </c>
      <c r="L70" s="28">
        <v>0.128</v>
      </c>
      <c r="M70" s="28">
        <v>5.75</v>
      </c>
      <c r="N70" s="28">
        <v>20</v>
      </c>
      <c r="P70" s="28">
        <v>2.2730000000000001</v>
      </c>
      <c r="Q70" s="28">
        <v>0.57799999999999996</v>
      </c>
      <c r="R70" s="28">
        <v>1.196</v>
      </c>
    </row>
    <row r="71" spans="1:18" x14ac:dyDescent="0.5">
      <c r="A71" s="28">
        <v>0.45</v>
      </c>
      <c r="B71" s="28">
        <v>14.16</v>
      </c>
      <c r="C71" s="28">
        <v>0.27200000000000002</v>
      </c>
      <c r="D71" s="28">
        <v>0.14599999999999999</v>
      </c>
      <c r="E71" s="28">
        <v>0.153</v>
      </c>
      <c r="F71" s="28">
        <v>13.85</v>
      </c>
      <c r="G71" s="28">
        <v>0.52500000000000002</v>
      </c>
      <c r="H71" s="28">
        <v>0.22600000000000001</v>
      </c>
      <c r="I71" s="28">
        <v>1.1599999999999999</v>
      </c>
      <c r="J71" s="28">
        <v>4</v>
      </c>
      <c r="K71" s="28">
        <v>0.68200000000000005</v>
      </c>
      <c r="L71" s="28">
        <v>0.128</v>
      </c>
      <c r="M71" s="28">
        <v>6</v>
      </c>
      <c r="N71" s="28">
        <v>20</v>
      </c>
      <c r="P71" s="28">
        <v>2.2829999999999999</v>
      </c>
      <c r="Q71" s="28">
        <v>0.57599999999999996</v>
      </c>
      <c r="R71" s="28">
        <v>1.3049999999999999</v>
      </c>
    </row>
    <row r="72" spans="1:18" x14ac:dyDescent="0.5">
      <c r="A72" s="28">
        <v>0.47</v>
      </c>
      <c r="B72" s="28">
        <v>14.12</v>
      </c>
      <c r="C72" s="28">
        <v>0.28000000000000003</v>
      </c>
      <c r="D72" s="28">
        <v>0.14599999999999999</v>
      </c>
      <c r="E72" s="28">
        <v>0.153</v>
      </c>
      <c r="F72" s="28">
        <v>14.2</v>
      </c>
      <c r="G72" s="28">
        <v>0.53</v>
      </c>
      <c r="H72" s="28">
        <v>0.22</v>
      </c>
      <c r="I72" s="28">
        <v>1.1599999999999999</v>
      </c>
      <c r="J72" s="28">
        <v>4.01</v>
      </c>
      <c r="K72" s="28">
        <v>0.68200000000000005</v>
      </c>
      <c r="L72" s="28">
        <v>0.128</v>
      </c>
      <c r="M72" s="28">
        <v>5.98</v>
      </c>
      <c r="N72" s="28">
        <v>19.5</v>
      </c>
      <c r="P72" s="28">
        <v>2.2730000000000001</v>
      </c>
      <c r="Q72" s="28">
        <v>0.57599999999999996</v>
      </c>
      <c r="R72" s="28">
        <v>1.276</v>
      </c>
    </row>
    <row r="73" spans="1:18" x14ac:dyDescent="0.5">
      <c r="A73" s="28">
        <v>0.46200000000000002</v>
      </c>
      <c r="B73" s="28">
        <v>14</v>
      </c>
      <c r="C73" s="28">
        <v>0.3</v>
      </c>
      <c r="D73" s="28">
        <v>0.14599999999999999</v>
      </c>
      <c r="E73" s="28">
        <v>0.153</v>
      </c>
      <c r="F73" s="28">
        <v>14.1</v>
      </c>
      <c r="G73" s="28">
        <v>0.53</v>
      </c>
      <c r="H73" s="28">
        <v>0.24</v>
      </c>
      <c r="I73" s="28">
        <v>1.1599999999999999</v>
      </c>
      <c r="J73" s="28">
        <v>4.03</v>
      </c>
      <c r="K73" s="28">
        <v>0.66</v>
      </c>
      <c r="L73" s="28">
        <v>0.128</v>
      </c>
      <c r="M73" s="28">
        <v>5.99</v>
      </c>
      <c r="N73" s="28">
        <v>19.600000000000001</v>
      </c>
      <c r="P73" s="28">
        <v>2.2919999999999998</v>
      </c>
      <c r="Q73" s="28">
        <v>0.56000000000000005</v>
      </c>
      <c r="R73" s="28">
        <v>1.2569999999999999</v>
      </c>
    </row>
    <row r="74" spans="1:18" x14ac:dyDescent="0.5">
      <c r="A74" s="28">
        <v>0.46200000000000002</v>
      </c>
      <c r="B74" s="28">
        <v>14.3</v>
      </c>
      <c r="C74" s="28">
        <v>0.3</v>
      </c>
      <c r="D74" s="28">
        <v>0.14599999999999999</v>
      </c>
      <c r="E74" s="28">
        <v>0.153</v>
      </c>
      <c r="F74" s="28">
        <v>14.23</v>
      </c>
      <c r="G74" s="28">
        <v>0.51500000000000001</v>
      </c>
      <c r="H74" s="28">
        <v>0.23599999999999999</v>
      </c>
      <c r="I74" s="28">
        <v>1.1599999999999999</v>
      </c>
      <c r="J74" s="28">
        <v>4.0599999999999996</v>
      </c>
      <c r="K74" s="28">
        <v>0.63</v>
      </c>
      <c r="L74" s="28">
        <v>0.128</v>
      </c>
      <c r="M74" s="28">
        <v>5.82</v>
      </c>
      <c r="N74" s="28">
        <v>19.600000000000001</v>
      </c>
      <c r="P74" s="28">
        <v>2.2730000000000001</v>
      </c>
      <c r="Q74" s="28">
        <v>0.56999999999999995</v>
      </c>
      <c r="R74" s="28">
        <v>1.23</v>
      </c>
    </row>
    <row r="75" spans="1:18" x14ac:dyDescent="0.5">
      <c r="A75" s="28">
        <v>0.48</v>
      </c>
      <c r="B75" s="28">
        <v>14.04</v>
      </c>
      <c r="C75" s="28">
        <v>0.3</v>
      </c>
      <c r="D75" s="28">
        <v>0.16200000000000001</v>
      </c>
      <c r="E75" s="28">
        <v>0.153</v>
      </c>
      <c r="F75" s="28">
        <v>14.23</v>
      </c>
      <c r="G75" s="28">
        <v>0.51</v>
      </c>
      <c r="H75" s="28">
        <v>0.22</v>
      </c>
      <c r="I75" s="28">
        <v>1.17</v>
      </c>
      <c r="J75" s="28">
        <v>3.9049999999999998</v>
      </c>
      <c r="K75" s="28">
        <v>0.61</v>
      </c>
      <c r="L75" s="28">
        <v>0.128</v>
      </c>
      <c r="M75" s="28">
        <v>5.43</v>
      </c>
      <c r="N75" s="28">
        <v>19.600000000000001</v>
      </c>
      <c r="P75" s="28">
        <v>2.2829999999999999</v>
      </c>
      <c r="Q75" s="28">
        <v>0.57999999999999996</v>
      </c>
      <c r="R75" s="28">
        <v>1.1830000000000001</v>
      </c>
    </row>
    <row r="76" spans="1:18" x14ac:dyDescent="0.5">
      <c r="A76" s="28">
        <v>0.49</v>
      </c>
      <c r="B76" s="28">
        <v>13.92</v>
      </c>
      <c r="C76" s="28">
        <v>0.30199999999999999</v>
      </c>
      <c r="D76" s="28">
        <v>0.16200000000000001</v>
      </c>
      <c r="E76" s="28">
        <v>0.153</v>
      </c>
      <c r="F76" s="28">
        <v>14.05</v>
      </c>
      <c r="G76" s="28">
        <v>0.505</v>
      </c>
      <c r="H76" s="28">
        <v>0.217</v>
      </c>
      <c r="I76" s="28">
        <v>1.17</v>
      </c>
      <c r="J76" s="28">
        <v>3.9449999999999998</v>
      </c>
      <c r="K76" s="28">
        <v>0.63800000000000001</v>
      </c>
      <c r="L76" s="28">
        <v>0.128</v>
      </c>
      <c r="M76" s="28">
        <v>5.5</v>
      </c>
      <c r="N76" s="28">
        <v>19.600000000000001</v>
      </c>
      <c r="P76" s="28">
        <v>2.2730000000000001</v>
      </c>
      <c r="Q76" s="28">
        <v>0.57399999999999995</v>
      </c>
      <c r="R76" s="28">
        <v>1.1830000000000001</v>
      </c>
    </row>
    <row r="77" spans="1:18" x14ac:dyDescent="0.5">
      <c r="A77" s="28">
        <v>0.48</v>
      </c>
      <c r="B77" s="28">
        <v>13.88</v>
      </c>
      <c r="C77" s="28">
        <v>0.30199999999999999</v>
      </c>
      <c r="D77" s="28">
        <v>0.16200000000000001</v>
      </c>
      <c r="E77" s="28">
        <v>0.153</v>
      </c>
      <c r="F77" s="28">
        <v>14</v>
      </c>
      <c r="G77" s="28">
        <v>0.51</v>
      </c>
      <c r="H77" s="28">
        <v>0.20899999999999999</v>
      </c>
      <c r="I77" s="28">
        <v>1.17</v>
      </c>
      <c r="J77" s="28">
        <v>4.05</v>
      </c>
      <c r="K77" s="28">
        <v>0.625</v>
      </c>
      <c r="L77" s="28">
        <v>0.128</v>
      </c>
      <c r="M77" s="28">
        <v>5.45</v>
      </c>
      <c r="N77" s="28">
        <v>19.600000000000001</v>
      </c>
      <c r="P77" s="28">
        <v>2.2919999999999998</v>
      </c>
      <c r="Q77" s="28">
        <v>0.56999999999999995</v>
      </c>
      <c r="R77" s="28">
        <v>1.2</v>
      </c>
    </row>
    <row r="78" spans="1:18" x14ac:dyDescent="0.5">
      <c r="A78" s="28">
        <v>0.47399999999999998</v>
      </c>
      <c r="B78" s="28">
        <v>13.6</v>
      </c>
      <c r="C78" s="28">
        <v>0.28999999999999998</v>
      </c>
      <c r="D78" s="28">
        <v>0.155</v>
      </c>
      <c r="E78" s="28">
        <v>0.153</v>
      </c>
      <c r="F78" s="28">
        <v>13.97</v>
      </c>
      <c r="G78" s="28">
        <v>0.498</v>
      </c>
      <c r="H78" s="28">
        <v>0.20300000000000001</v>
      </c>
      <c r="I78" s="28">
        <v>1.17</v>
      </c>
      <c r="J78" s="28">
        <v>4.04</v>
      </c>
      <c r="K78" s="28">
        <v>0.59</v>
      </c>
      <c r="L78" s="28">
        <v>0.128</v>
      </c>
      <c r="M78" s="28">
        <v>5.34</v>
      </c>
      <c r="N78" s="28">
        <v>19.600000000000001</v>
      </c>
      <c r="P78" s="28">
        <v>2.3010000000000002</v>
      </c>
      <c r="Q78" s="28">
        <v>0.56000000000000005</v>
      </c>
      <c r="R78" s="28">
        <v>1.1200000000000001</v>
      </c>
    </row>
    <row r="79" spans="1:18" x14ac:dyDescent="0.5">
      <c r="A79" s="28">
        <v>0.496</v>
      </c>
      <c r="B79" s="28">
        <v>13.6</v>
      </c>
      <c r="C79" s="28">
        <v>0.28999999999999998</v>
      </c>
      <c r="D79" s="28">
        <v>0.155</v>
      </c>
      <c r="E79" s="28">
        <v>0.153</v>
      </c>
      <c r="F79" s="28">
        <v>13.66</v>
      </c>
      <c r="G79" s="28">
        <v>0.52</v>
      </c>
      <c r="H79" s="28">
        <v>0.20499999999999999</v>
      </c>
      <c r="I79" s="28">
        <v>1.17</v>
      </c>
      <c r="J79" s="28">
        <v>3.98</v>
      </c>
      <c r="K79" s="28">
        <v>0.59199999999999997</v>
      </c>
      <c r="L79" s="28">
        <v>0.128</v>
      </c>
      <c r="M79" s="28">
        <v>5.45</v>
      </c>
      <c r="N79" s="28">
        <v>19.600000000000001</v>
      </c>
      <c r="P79" s="28">
        <v>2.3570000000000002</v>
      </c>
      <c r="Q79" s="28">
        <v>0.56200000000000006</v>
      </c>
      <c r="R79" s="28">
        <v>1.1100000000000001</v>
      </c>
    </row>
    <row r="80" spans="1:18" x14ac:dyDescent="0.5">
      <c r="A80" s="28">
        <v>0.47</v>
      </c>
      <c r="B80" s="28">
        <v>13.6</v>
      </c>
      <c r="C80" s="28">
        <v>0.28999999999999998</v>
      </c>
      <c r="D80" s="28">
        <v>0.156</v>
      </c>
      <c r="E80" s="28">
        <v>0.153</v>
      </c>
      <c r="F80" s="28">
        <v>13.62</v>
      </c>
      <c r="G80" s="28">
        <v>0.52</v>
      </c>
      <c r="H80" s="28">
        <v>0.20799999999999999</v>
      </c>
      <c r="I80" s="28">
        <v>1.17</v>
      </c>
      <c r="J80" s="28">
        <v>3.89</v>
      </c>
      <c r="K80" s="28">
        <v>0.56999999999999995</v>
      </c>
      <c r="L80" s="28">
        <v>0.128</v>
      </c>
      <c r="M80" s="28">
        <v>5.41</v>
      </c>
      <c r="N80" s="28">
        <v>19.600000000000001</v>
      </c>
      <c r="P80" s="28">
        <v>2.3570000000000002</v>
      </c>
      <c r="Q80" s="28">
        <v>0.55800000000000005</v>
      </c>
      <c r="R80" s="28">
        <v>1.0980000000000001</v>
      </c>
    </row>
    <row r="81" spans="1:18" x14ac:dyDescent="0.5">
      <c r="A81" s="28">
        <v>0.46</v>
      </c>
      <c r="B81" s="28">
        <v>13.14</v>
      </c>
      <c r="C81" s="28">
        <v>0.27200000000000002</v>
      </c>
      <c r="D81" s="28">
        <v>0.156</v>
      </c>
      <c r="E81" s="28">
        <v>0.153</v>
      </c>
      <c r="F81" s="28">
        <v>13.31</v>
      </c>
      <c r="G81" s="28">
        <v>0.52500000000000002</v>
      </c>
      <c r="H81" s="28">
        <v>0.20399999999999999</v>
      </c>
      <c r="I81" s="28">
        <v>1.17</v>
      </c>
      <c r="J81" s="28">
        <v>3.68</v>
      </c>
      <c r="K81" s="28">
        <v>0.57299999999999995</v>
      </c>
      <c r="L81" s="28">
        <v>0.128</v>
      </c>
      <c r="M81" s="28">
        <v>5.2</v>
      </c>
      <c r="N81" s="28">
        <v>19.600000000000001</v>
      </c>
      <c r="P81" s="28">
        <v>2.3570000000000002</v>
      </c>
      <c r="Q81" s="28">
        <v>0.56000000000000005</v>
      </c>
      <c r="R81" s="28">
        <v>1.02</v>
      </c>
    </row>
    <row r="82" spans="1:18" x14ac:dyDescent="0.5">
      <c r="A82" s="28">
        <v>0.48599999999999999</v>
      </c>
      <c r="B82" s="28">
        <v>12.98</v>
      </c>
      <c r="C82" s="28">
        <v>0.28000000000000003</v>
      </c>
      <c r="D82" s="28">
        <v>0.156</v>
      </c>
      <c r="E82" s="28">
        <v>0.153</v>
      </c>
      <c r="F82" s="28">
        <v>13.24</v>
      </c>
      <c r="G82" s="28">
        <v>0.52500000000000002</v>
      </c>
      <c r="H82" s="28">
        <v>0.21</v>
      </c>
      <c r="I82" s="28">
        <v>1.17</v>
      </c>
      <c r="J82" s="28">
        <v>3.62</v>
      </c>
      <c r="K82" s="28">
        <v>0.56899999999999995</v>
      </c>
      <c r="L82" s="28">
        <v>0.128</v>
      </c>
      <c r="M82" s="28">
        <v>5.04</v>
      </c>
      <c r="N82" s="28">
        <v>19.600000000000001</v>
      </c>
      <c r="P82" s="28">
        <v>2.3479999999999999</v>
      </c>
      <c r="Q82" s="28">
        <v>0.55000000000000004</v>
      </c>
      <c r="R82" s="28">
        <v>1.07</v>
      </c>
    </row>
    <row r="83" spans="1:18" x14ac:dyDescent="0.5">
      <c r="A83" s="28">
        <v>0.48</v>
      </c>
      <c r="B83" s="28">
        <v>13.1</v>
      </c>
      <c r="C83" s="28">
        <v>0.28000000000000003</v>
      </c>
      <c r="D83" s="28">
        <v>0.156</v>
      </c>
      <c r="E83" s="28">
        <v>0.153</v>
      </c>
      <c r="F83" s="28">
        <v>13.1</v>
      </c>
      <c r="G83" s="28">
        <v>0.53500000000000003</v>
      </c>
      <c r="H83" s="28">
        <v>0.21099999999999999</v>
      </c>
      <c r="I83" s="28">
        <v>1.3</v>
      </c>
      <c r="J83" s="28">
        <v>3.69</v>
      </c>
      <c r="K83" s="28">
        <v>0.57999999999999996</v>
      </c>
      <c r="L83" s="28">
        <v>0.128</v>
      </c>
      <c r="M83" s="28">
        <v>4.95</v>
      </c>
      <c r="N83" s="28">
        <v>19.600000000000001</v>
      </c>
      <c r="P83" s="28">
        <v>2.2360000000000002</v>
      </c>
      <c r="Q83" s="28">
        <v>0.55400000000000005</v>
      </c>
      <c r="R83" s="28">
        <v>1.08</v>
      </c>
    </row>
    <row r="84" spans="1:18" x14ac:dyDescent="0.5">
      <c r="A84" s="28">
        <v>0.5</v>
      </c>
      <c r="B84" s="28">
        <v>13.26</v>
      </c>
      <c r="C84" s="28">
        <v>0.28000000000000003</v>
      </c>
      <c r="D84" s="28">
        <v>0.14499999999999999</v>
      </c>
      <c r="E84" s="28">
        <v>0.153</v>
      </c>
      <c r="F84" s="28">
        <v>13</v>
      </c>
      <c r="G84" s="28">
        <v>0.52</v>
      </c>
      <c r="H84" s="28">
        <v>0.215</v>
      </c>
      <c r="I84" s="28">
        <v>1.3</v>
      </c>
      <c r="J84" s="28">
        <v>3.74</v>
      </c>
      <c r="K84" s="28">
        <v>0.63</v>
      </c>
      <c r="L84" s="28">
        <v>0.128</v>
      </c>
      <c r="M84" s="28">
        <v>5.19</v>
      </c>
      <c r="N84" s="28">
        <v>19.600000000000001</v>
      </c>
      <c r="P84" s="28">
        <v>2.2269999999999999</v>
      </c>
      <c r="Q84" s="28">
        <v>0.56799999999999995</v>
      </c>
      <c r="R84" s="28">
        <v>1.04</v>
      </c>
    </row>
    <row r="85" spans="1:18" x14ac:dyDescent="0.5">
      <c r="A85" s="28">
        <v>0.44</v>
      </c>
      <c r="B85" s="28">
        <v>13.2</v>
      </c>
      <c r="C85" s="28">
        <v>0.28799999999999998</v>
      </c>
      <c r="D85" s="28">
        <v>0.14499999999999999</v>
      </c>
      <c r="E85" s="28">
        <v>0.153</v>
      </c>
      <c r="F85" s="28">
        <v>12.85</v>
      </c>
      <c r="G85" s="28">
        <v>0.52500000000000002</v>
      </c>
      <c r="H85" s="28">
        <v>0.20599999999999999</v>
      </c>
      <c r="I85" s="28">
        <v>1.3</v>
      </c>
      <c r="J85" s="28">
        <v>3.8250000000000002</v>
      </c>
      <c r="K85" s="28">
        <v>0.63400000000000001</v>
      </c>
      <c r="L85" s="28">
        <v>0.128</v>
      </c>
      <c r="M85" s="28">
        <v>5.2</v>
      </c>
      <c r="N85" s="28">
        <v>19.600000000000001</v>
      </c>
      <c r="P85" s="28">
        <v>2.2360000000000002</v>
      </c>
      <c r="Q85" s="28">
        <v>0.57399999999999995</v>
      </c>
      <c r="R85" s="28">
        <v>1</v>
      </c>
    </row>
    <row r="86" spans="1:18" x14ac:dyDescent="0.5">
      <c r="A86" s="28">
        <v>0.45</v>
      </c>
      <c r="B86" s="28">
        <v>13.36</v>
      </c>
      <c r="C86" s="28">
        <v>0.28000000000000003</v>
      </c>
      <c r="D86" s="28">
        <v>0.14499999999999999</v>
      </c>
      <c r="E86" s="28">
        <v>0.153</v>
      </c>
      <c r="F86" s="28">
        <v>12.93</v>
      </c>
      <c r="G86" s="28">
        <v>0.53500000000000003</v>
      </c>
      <c r="H86" s="28">
        <v>0.20399999999999999</v>
      </c>
      <c r="I86" s="28">
        <v>1.3</v>
      </c>
      <c r="J86" s="28">
        <v>3.91</v>
      </c>
      <c r="K86" s="28">
        <v>0.63</v>
      </c>
      <c r="L86" s="28">
        <v>0.128</v>
      </c>
      <c r="M86" s="28">
        <v>5.3</v>
      </c>
      <c r="N86" s="28">
        <v>19.600000000000001</v>
      </c>
      <c r="P86" s="28">
        <v>2.3199999999999998</v>
      </c>
      <c r="Q86" s="28">
        <v>0.56999999999999995</v>
      </c>
      <c r="R86" s="28">
        <v>0.97099999999999997</v>
      </c>
    </row>
    <row r="87" spans="1:18" x14ac:dyDescent="0.5">
      <c r="A87" s="28">
        <v>0.47</v>
      </c>
      <c r="B87" s="28">
        <v>12.96</v>
      </c>
      <c r="C87" s="28">
        <v>0.25</v>
      </c>
      <c r="D87" s="28">
        <v>0.14499999999999999</v>
      </c>
      <c r="E87" s="28">
        <v>0.153</v>
      </c>
      <c r="F87" s="28">
        <v>12.66</v>
      </c>
      <c r="G87" s="28">
        <v>0.53500000000000003</v>
      </c>
      <c r="H87" s="28">
        <v>0.185</v>
      </c>
      <c r="I87" s="28">
        <v>1.3</v>
      </c>
      <c r="J87" s="28">
        <v>3.8450000000000002</v>
      </c>
      <c r="K87" s="28">
        <v>0.60399999999999998</v>
      </c>
      <c r="L87" s="28">
        <v>0.128</v>
      </c>
      <c r="M87" s="28">
        <v>5.3</v>
      </c>
      <c r="N87" s="28">
        <v>19.3</v>
      </c>
      <c r="P87" s="28">
        <v>2.2730000000000001</v>
      </c>
      <c r="Q87" s="28">
        <v>0.53400000000000003</v>
      </c>
      <c r="R87" s="28">
        <v>0.872</v>
      </c>
    </row>
    <row r="88" spans="1:18" x14ac:dyDescent="0.5">
      <c r="A88" s="28">
        <v>0.47599999999999998</v>
      </c>
      <c r="B88" s="28">
        <v>12.96</v>
      </c>
      <c r="C88" s="28">
        <v>0.24199999999999999</v>
      </c>
      <c r="D88" s="28">
        <v>0.14499999999999999</v>
      </c>
      <c r="E88" s="28">
        <v>0.153</v>
      </c>
      <c r="F88" s="28">
        <v>12.47</v>
      </c>
      <c r="G88" s="28">
        <v>0.53</v>
      </c>
      <c r="H88" s="28">
        <v>0.185</v>
      </c>
      <c r="I88" s="28">
        <v>1.3</v>
      </c>
      <c r="J88" s="28">
        <v>3.9</v>
      </c>
      <c r="K88" s="28">
        <v>0.58899999999999997</v>
      </c>
      <c r="L88" s="28">
        <v>0.128</v>
      </c>
      <c r="M88" s="28">
        <v>5.38</v>
      </c>
      <c r="N88" s="28">
        <v>19.3</v>
      </c>
      <c r="P88" s="28">
        <v>2.3290000000000002</v>
      </c>
      <c r="Q88" s="28">
        <v>0.5</v>
      </c>
      <c r="R88" s="28">
        <v>0.82799999999999996</v>
      </c>
    </row>
    <row r="89" spans="1:18" x14ac:dyDescent="0.5">
      <c r="A89" s="28">
        <v>0.44</v>
      </c>
      <c r="B89" s="28">
        <v>12.7</v>
      </c>
      <c r="C89" s="28">
        <v>0.23799999999999999</v>
      </c>
      <c r="D89" s="28">
        <v>0.14499999999999999</v>
      </c>
      <c r="E89" s="28">
        <v>0.153</v>
      </c>
      <c r="F89" s="28">
        <v>12.16</v>
      </c>
      <c r="G89" s="28">
        <v>0.53</v>
      </c>
      <c r="H89" s="28">
        <v>0.17899999999999999</v>
      </c>
      <c r="I89" s="28">
        <v>1.3</v>
      </c>
      <c r="J89" s="28">
        <v>3.7</v>
      </c>
      <c r="K89" s="28">
        <v>0.55300000000000005</v>
      </c>
      <c r="L89" s="28">
        <v>0.128</v>
      </c>
      <c r="M89" s="28">
        <v>5.0599999999999996</v>
      </c>
      <c r="N89" s="28">
        <v>19.5</v>
      </c>
      <c r="P89" s="28">
        <v>2.2919999999999998</v>
      </c>
      <c r="Q89" s="28">
        <v>0.49</v>
      </c>
      <c r="R89" s="28">
        <v>0.70499999999999996</v>
      </c>
    </row>
    <row r="90" spans="1:18" x14ac:dyDescent="0.5">
      <c r="A90" s="28">
        <v>0.39800000000000002</v>
      </c>
      <c r="B90" s="28">
        <v>12.28</v>
      </c>
      <c r="C90" s="28">
        <v>0.24199999999999999</v>
      </c>
      <c r="D90" s="28">
        <v>0.14499999999999999</v>
      </c>
      <c r="E90" s="28">
        <v>0.153</v>
      </c>
      <c r="F90" s="28">
        <v>12.05</v>
      </c>
      <c r="G90" s="28">
        <v>0.53500000000000003</v>
      </c>
      <c r="H90" s="28">
        <v>0.17899999999999999</v>
      </c>
      <c r="I90" s="28">
        <v>1.3</v>
      </c>
      <c r="J90" s="28">
        <v>3.69</v>
      </c>
      <c r="K90" s="28">
        <v>0.54</v>
      </c>
      <c r="L90" s="28">
        <v>0.128</v>
      </c>
      <c r="M90" s="28">
        <v>4.9050000000000002</v>
      </c>
      <c r="N90" s="28">
        <v>19.3</v>
      </c>
      <c r="P90" s="28">
        <v>2.2639999999999998</v>
      </c>
      <c r="Q90" s="28">
        <v>0.49</v>
      </c>
      <c r="R90" s="28">
        <v>0.73</v>
      </c>
    </row>
    <row r="91" spans="1:18" x14ac:dyDescent="0.5">
      <c r="A91" s="28">
        <v>0.4</v>
      </c>
      <c r="B91" s="28">
        <v>12</v>
      </c>
      <c r="C91" s="28">
        <v>0.24399999999999999</v>
      </c>
      <c r="D91" s="28">
        <v>0.14499999999999999</v>
      </c>
      <c r="E91" s="28">
        <v>0.153</v>
      </c>
      <c r="F91" s="28">
        <v>12.35</v>
      </c>
      <c r="G91" s="28">
        <v>0.52</v>
      </c>
      <c r="H91" s="28">
        <v>0.17899999999999999</v>
      </c>
      <c r="I91" s="28">
        <v>1.3</v>
      </c>
      <c r="J91" s="28">
        <v>3.74</v>
      </c>
      <c r="K91" s="28">
        <v>0.53700000000000003</v>
      </c>
      <c r="L91" s="28">
        <v>0.128</v>
      </c>
      <c r="M91" s="28">
        <v>4.9400000000000004</v>
      </c>
      <c r="N91" s="28">
        <v>19.3</v>
      </c>
      <c r="P91" s="28">
        <v>2.161</v>
      </c>
      <c r="Q91" s="28">
        <v>0.48699999999999999</v>
      </c>
      <c r="R91" s="28">
        <v>0.749</v>
      </c>
    </row>
    <row r="92" spans="1:18" x14ac:dyDescent="0.5">
      <c r="A92" s="28">
        <v>0.35599999999999998</v>
      </c>
      <c r="B92" s="28">
        <v>11.86</v>
      </c>
      <c r="C92" s="28">
        <v>0.24399999999999999</v>
      </c>
      <c r="D92" s="28">
        <v>0.14499999999999999</v>
      </c>
      <c r="E92" s="28">
        <v>0.153</v>
      </c>
      <c r="F92" s="28">
        <v>12.9</v>
      </c>
      <c r="G92" s="28">
        <v>0.5</v>
      </c>
      <c r="H92" s="28">
        <v>0.17899999999999999</v>
      </c>
      <c r="I92" s="28">
        <v>1.3</v>
      </c>
      <c r="J92" s="28">
        <v>3.65</v>
      </c>
      <c r="K92" s="28">
        <v>0.54500000000000004</v>
      </c>
      <c r="L92" s="28">
        <v>0.128</v>
      </c>
      <c r="M92" s="28">
        <v>4.7</v>
      </c>
      <c r="N92" s="28">
        <v>19.3</v>
      </c>
      <c r="P92" s="28">
        <v>2.0859999999999999</v>
      </c>
      <c r="Q92" s="28">
        <v>0.48</v>
      </c>
      <c r="R92" s="28">
        <v>0.76200000000000001</v>
      </c>
    </row>
    <row r="93" spans="1:18" x14ac:dyDescent="0.5">
      <c r="P93" s="28">
        <v>2.2170000000000001</v>
      </c>
      <c r="Q93" s="28">
        <v>0.49</v>
      </c>
      <c r="R93" s="28">
        <v>0.83599999999999997</v>
      </c>
    </row>
    <row r="94" spans="1:18" x14ac:dyDescent="0.5">
      <c r="P94" s="28">
        <v>2.2450000000000001</v>
      </c>
      <c r="Q94" s="28">
        <v>0.45600000000000002</v>
      </c>
      <c r="R94" s="28">
        <v>0.70299999999999996</v>
      </c>
    </row>
    <row r="95" spans="1:18" x14ac:dyDescent="0.5">
      <c r="P95" s="28">
        <v>2.1520000000000001</v>
      </c>
      <c r="Q95" s="28">
        <v>0.45900000000000002</v>
      </c>
      <c r="R95" s="28">
        <v>0.7</v>
      </c>
    </row>
    <row r="96" spans="1:18" x14ac:dyDescent="0.5">
      <c r="P96" s="28">
        <v>2.161</v>
      </c>
      <c r="Q96" s="28">
        <v>0.45900000000000002</v>
      </c>
      <c r="R96" s="28">
        <v>0.68</v>
      </c>
    </row>
    <row r="97" spans="16:18" x14ac:dyDescent="0.5">
      <c r="P97" s="28">
        <v>2.1800000000000002</v>
      </c>
      <c r="Q97" s="28">
        <v>0.45500000000000002</v>
      </c>
      <c r="R97" s="28">
        <v>0.64800000000000002</v>
      </c>
    </row>
    <row r="98" spans="16:18" x14ac:dyDescent="0.5">
      <c r="P98" s="28">
        <v>2.198</v>
      </c>
      <c r="Q98" s="28">
        <v>0.46800000000000003</v>
      </c>
      <c r="R98" s="28">
        <v>0.62</v>
      </c>
    </row>
    <row r="99" spans="16:18" x14ac:dyDescent="0.5">
      <c r="P99" s="28">
        <v>2.198</v>
      </c>
      <c r="Q99" s="28">
        <v>0.46600000000000003</v>
      </c>
      <c r="R99" s="28">
        <v>0.65500000000000003</v>
      </c>
    </row>
    <row r="100" spans="16:18" x14ac:dyDescent="0.5">
      <c r="P100" s="28">
        <v>2.1520000000000001</v>
      </c>
      <c r="Q100" s="28">
        <v>0.46</v>
      </c>
      <c r="R100" s="28">
        <v>0.65</v>
      </c>
    </row>
    <row r="101" spans="16:18" x14ac:dyDescent="0.5">
      <c r="P101" s="28">
        <v>2.198</v>
      </c>
      <c r="Q101" s="28">
        <v>0.47199999999999998</v>
      </c>
      <c r="R101" s="28">
        <v>0.71899999999999997</v>
      </c>
    </row>
    <row r="102" spans="16:18" x14ac:dyDescent="0.5">
      <c r="P102" s="28">
        <v>2.2080000000000002</v>
      </c>
      <c r="Q102" s="28">
        <v>0.49</v>
      </c>
      <c r="R102" s="28">
        <v>0.71799999999999997</v>
      </c>
    </row>
    <row r="103" spans="16:18" x14ac:dyDescent="0.5">
      <c r="P103" s="28">
        <v>2.2080000000000002</v>
      </c>
      <c r="Q103" s="28">
        <v>0.51</v>
      </c>
      <c r="R103" s="28">
        <v>0.94799999999999995</v>
      </c>
    </row>
    <row r="104" spans="16:18" x14ac:dyDescent="0.5">
      <c r="P104" s="28">
        <v>2.3109999999999999</v>
      </c>
      <c r="Q104" s="28">
        <v>0.498</v>
      </c>
      <c r="R104" s="28">
        <v>0.94</v>
      </c>
    </row>
    <row r="105" spans="16:18" x14ac:dyDescent="0.5">
      <c r="P105" s="28">
        <v>2.3860000000000001</v>
      </c>
      <c r="Q105" s="28">
        <v>0.51800000000000002</v>
      </c>
      <c r="R105" s="28">
        <v>0.996</v>
      </c>
    </row>
    <row r="106" spans="16:18" x14ac:dyDescent="0.5">
      <c r="P106" s="28">
        <v>2.3109999999999999</v>
      </c>
      <c r="Q106" s="28">
        <v>0.51800000000000002</v>
      </c>
      <c r="R106" s="28">
        <v>1.0149999999999999</v>
      </c>
    </row>
    <row r="107" spans="16:18" x14ac:dyDescent="0.5">
      <c r="P107" s="28">
        <v>2.3199999999999998</v>
      </c>
      <c r="Q107" s="28">
        <v>0.51</v>
      </c>
      <c r="R107" s="28">
        <v>1.0269999999999999</v>
      </c>
    </row>
    <row r="108" spans="16:18" x14ac:dyDescent="0.5">
      <c r="P108" s="28">
        <v>2.3479999999999999</v>
      </c>
      <c r="Q108" s="28">
        <v>0.51</v>
      </c>
      <c r="R108" s="28">
        <v>1.0329999999999999</v>
      </c>
    </row>
    <row r="109" spans="16:18" x14ac:dyDescent="0.5">
      <c r="P109" s="28">
        <v>2.2919999999999998</v>
      </c>
      <c r="Q109" s="28">
        <v>0.504</v>
      </c>
      <c r="R109" s="28">
        <v>1.05</v>
      </c>
    </row>
    <row r="110" spans="16:18" x14ac:dyDescent="0.5">
      <c r="P110" s="28">
        <v>2.2829999999999999</v>
      </c>
      <c r="Q110" s="28">
        <v>0.50800000000000001</v>
      </c>
      <c r="R110" s="28">
        <v>1.0620000000000001</v>
      </c>
    </row>
    <row r="111" spans="16:18" x14ac:dyDescent="0.5">
      <c r="P111" s="28">
        <v>2.2269999999999999</v>
      </c>
      <c r="Q111" s="28">
        <v>0.51800000000000002</v>
      </c>
      <c r="R111" s="28">
        <v>1.075</v>
      </c>
    </row>
    <row r="112" spans="16:18" x14ac:dyDescent="0.5">
      <c r="P112" s="28">
        <v>2.2269999999999999</v>
      </c>
      <c r="Q112" s="28">
        <v>0.51400000000000001</v>
      </c>
      <c r="R112" s="28">
        <v>1.0900000000000001</v>
      </c>
    </row>
    <row r="113" spans="16:18" x14ac:dyDescent="0.5">
      <c r="P113" s="28">
        <v>2.2360000000000002</v>
      </c>
      <c r="Q113" s="28">
        <v>0.51800000000000002</v>
      </c>
      <c r="R113" s="28">
        <v>1.1339999999999999</v>
      </c>
    </row>
    <row r="114" spans="16:18" x14ac:dyDescent="0.5">
      <c r="P114" s="28">
        <v>2.2170000000000001</v>
      </c>
      <c r="Q114" s="28">
        <v>0.51800000000000002</v>
      </c>
      <c r="R114" s="28">
        <v>1.1399999999999999</v>
      </c>
    </row>
    <row r="115" spans="16:18" x14ac:dyDescent="0.5">
      <c r="P115" s="28">
        <v>2.17</v>
      </c>
      <c r="Q115" s="28">
        <v>0.52600000000000002</v>
      </c>
      <c r="R115" s="28">
        <v>1.1160000000000001</v>
      </c>
    </row>
    <row r="116" spans="16:18" x14ac:dyDescent="0.5">
      <c r="P116" s="28">
        <v>2.1520000000000001</v>
      </c>
      <c r="Q116" s="28">
        <v>0.51600000000000001</v>
      </c>
      <c r="R116" s="28">
        <v>1.1200000000000001</v>
      </c>
    </row>
    <row r="117" spans="16:18" x14ac:dyDescent="0.5">
      <c r="P117" s="28">
        <v>2.1240000000000001</v>
      </c>
      <c r="Q117" s="28">
        <v>0.51600000000000001</v>
      </c>
      <c r="R117" s="28">
        <v>1.04</v>
      </c>
    </row>
    <row r="118" spans="16:18" x14ac:dyDescent="0.5">
      <c r="P118" s="28">
        <v>2.0960000000000001</v>
      </c>
      <c r="Q118" s="28">
        <v>0.51800000000000002</v>
      </c>
      <c r="R118" s="28">
        <v>1.04</v>
      </c>
    </row>
    <row r="119" spans="16:18" x14ac:dyDescent="0.5">
      <c r="P119" s="28">
        <v>2.0859999999999999</v>
      </c>
      <c r="Q119" s="28">
        <v>0.51</v>
      </c>
      <c r="R119" s="28">
        <v>1.0680000000000001</v>
      </c>
    </row>
    <row r="120" spans="16:18" x14ac:dyDescent="0.5">
      <c r="P120" s="28">
        <v>2.0390000000000001</v>
      </c>
      <c r="Q120" s="28">
        <v>0.51400000000000001</v>
      </c>
      <c r="R120" s="28">
        <v>1.0649999999999999</v>
      </c>
    </row>
    <row r="121" spans="16:18" x14ac:dyDescent="0.5">
      <c r="P121" s="28">
        <v>2.0489999999999999</v>
      </c>
      <c r="Q121" s="28">
        <v>0.51200000000000001</v>
      </c>
      <c r="R121" s="28">
        <v>1.0660000000000001</v>
      </c>
    </row>
    <row r="122" spans="16:18" x14ac:dyDescent="0.5">
      <c r="P122" s="28">
        <v>2.0390000000000001</v>
      </c>
      <c r="Q122" s="28">
        <v>0.51</v>
      </c>
      <c r="R122" s="28">
        <v>1.0840000000000001</v>
      </c>
    </row>
    <row r="123" spans="16:18" x14ac:dyDescent="0.5">
      <c r="P123" s="28">
        <v>2.0299999999999998</v>
      </c>
      <c r="Q123" s="28">
        <v>0.504</v>
      </c>
      <c r="R123" s="28">
        <v>1.06</v>
      </c>
    </row>
    <row r="124" spans="16:18" x14ac:dyDescent="0.5">
      <c r="P124" s="28">
        <v>2.0110000000000001</v>
      </c>
      <c r="Q124" s="28">
        <v>0.49</v>
      </c>
      <c r="R124" s="28">
        <v>1.0880000000000001</v>
      </c>
    </row>
    <row r="125" spans="16:18" x14ac:dyDescent="0.5">
      <c r="P125" s="28">
        <v>2.0110000000000001</v>
      </c>
      <c r="Q125" s="28">
        <v>0.5</v>
      </c>
      <c r="R125" s="28">
        <v>1.1000000000000001</v>
      </c>
    </row>
    <row r="126" spans="16:18" x14ac:dyDescent="0.5">
      <c r="P126" s="28">
        <v>1.9830000000000001</v>
      </c>
      <c r="Q126" s="28">
        <v>0.504</v>
      </c>
      <c r="R126" s="28">
        <v>1.081</v>
      </c>
    </row>
    <row r="127" spans="16:18" x14ac:dyDescent="0.5">
      <c r="P127" s="28">
        <v>1.974</v>
      </c>
      <c r="Q127" s="28">
        <v>0.51200000000000001</v>
      </c>
      <c r="R127" s="28">
        <v>1.1000000000000001</v>
      </c>
    </row>
    <row r="128" spans="16:18" x14ac:dyDescent="0.5">
      <c r="P128" s="28">
        <v>2.0110000000000001</v>
      </c>
      <c r="Q128" s="28">
        <v>0.51800000000000002</v>
      </c>
      <c r="R128" s="28">
        <v>1.1759999999999999</v>
      </c>
    </row>
    <row r="129" spans="16:18" x14ac:dyDescent="0.5">
      <c r="P129" s="28">
        <v>2.0019999999999998</v>
      </c>
      <c r="Q129" s="28">
        <v>0.52</v>
      </c>
      <c r="R129" s="28">
        <v>1.18</v>
      </c>
    </row>
    <row r="130" spans="16:18" x14ac:dyDescent="0.5">
      <c r="P130" s="28">
        <v>1.9930000000000001</v>
      </c>
      <c r="Q130" s="28">
        <v>0.50800000000000001</v>
      </c>
      <c r="R130" s="28">
        <v>1.18</v>
      </c>
    </row>
    <row r="131" spans="16:18" x14ac:dyDescent="0.5">
      <c r="P131" s="28">
        <v>2.0019999999999998</v>
      </c>
      <c r="Q131" s="28">
        <v>0.52</v>
      </c>
      <c r="R131" s="28">
        <v>1.2390000000000001</v>
      </c>
    </row>
    <row r="132" spans="16:18" x14ac:dyDescent="0.5">
      <c r="P132" s="28">
        <v>1.9930000000000001</v>
      </c>
      <c r="Q132" s="28">
        <v>0.55800000000000005</v>
      </c>
      <c r="R132" s="28">
        <v>1.2450000000000001</v>
      </c>
    </row>
    <row r="133" spans="16:18" x14ac:dyDescent="0.5">
      <c r="P133" s="28">
        <v>1.9650000000000001</v>
      </c>
      <c r="Q133" s="28">
        <v>0.54600000000000004</v>
      </c>
      <c r="R133" s="28">
        <v>1.1499999999999999</v>
      </c>
    </row>
    <row r="134" spans="16:18" x14ac:dyDescent="0.5">
      <c r="P134" s="28">
        <v>1.974</v>
      </c>
      <c r="Q134" s="28">
        <v>0.53</v>
      </c>
      <c r="R134" s="28">
        <v>1.175</v>
      </c>
    </row>
    <row r="135" spans="16:18" x14ac:dyDescent="0.5">
      <c r="P135" s="28">
        <v>1.927</v>
      </c>
      <c r="Q135" s="28">
        <v>0.52600000000000002</v>
      </c>
      <c r="R135" s="28">
        <v>1.145</v>
      </c>
    </row>
    <row r="136" spans="16:18" x14ac:dyDescent="0.5">
      <c r="P136" s="28">
        <v>1.974</v>
      </c>
      <c r="Q136" s="28">
        <v>0.51</v>
      </c>
      <c r="R136" s="28">
        <v>1.1379999999999999</v>
      </c>
    </row>
    <row r="137" spans="16:18" x14ac:dyDescent="0.5">
      <c r="P137" s="28">
        <v>1.9830000000000001</v>
      </c>
      <c r="Q137" s="28">
        <v>0.53600000000000003</v>
      </c>
      <c r="R137" s="28">
        <v>1.198</v>
      </c>
    </row>
    <row r="138" spans="16:18" x14ac:dyDescent="0.5">
      <c r="P138" s="28">
        <v>1.9930000000000001</v>
      </c>
      <c r="Q138" s="28">
        <v>0.53600000000000003</v>
      </c>
      <c r="R138" s="28">
        <v>1.212</v>
      </c>
    </row>
    <row r="139" spans="16:18" x14ac:dyDescent="0.5">
      <c r="P139" s="28">
        <v>2.0390000000000001</v>
      </c>
      <c r="Q139" s="28">
        <v>0.55800000000000005</v>
      </c>
      <c r="R139" s="28">
        <v>1.24</v>
      </c>
    </row>
    <row r="140" spans="16:18" x14ac:dyDescent="0.5">
      <c r="P140" s="28">
        <v>2.02</v>
      </c>
      <c r="Q140" s="28">
        <v>0.56599999999999995</v>
      </c>
      <c r="R140" s="28">
        <v>1.2569999999999999</v>
      </c>
    </row>
    <row r="141" spans="16:18" x14ac:dyDescent="0.5">
      <c r="P141" s="28">
        <v>2.0299999999999998</v>
      </c>
      <c r="Q141" s="28">
        <v>0.56000000000000005</v>
      </c>
      <c r="R141" s="28">
        <v>1.2350000000000001</v>
      </c>
    </row>
    <row r="142" spans="16:18" x14ac:dyDescent="0.5">
      <c r="P142" s="28">
        <v>2.0019999999999998</v>
      </c>
      <c r="Q142" s="28">
        <v>0.54800000000000004</v>
      </c>
      <c r="R142" s="28">
        <v>1.2070000000000001</v>
      </c>
    </row>
    <row r="143" spans="16:18" x14ac:dyDescent="0.5">
      <c r="P143" s="28">
        <v>1.9830000000000001</v>
      </c>
      <c r="Q143" s="28">
        <v>0.54</v>
      </c>
      <c r="R143" s="28">
        <v>1.23</v>
      </c>
    </row>
    <row r="144" spans="16:18" x14ac:dyDescent="0.5">
      <c r="P144" s="28">
        <v>1.9550000000000001</v>
      </c>
      <c r="Q144" s="28">
        <v>0.52600000000000002</v>
      </c>
      <c r="R144" s="28">
        <v>1.23</v>
      </c>
    </row>
    <row r="145" spans="16:18" x14ac:dyDescent="0.5">
      <c r="P145" s="28">
        <v>1.9930000000000001</v>
      </c>
      <c r="Q145" s="28">
        <v>0.52</v>
      </c>
      <c r="R145" s="28">
        <v>1.212</v>
      </c>
    </row>
    <row r="146" spans="16:18" x14ac:dyDescent="0.5">
      <c r="P146" s="28">
        <v>1.9930000000000001</v>
      </c>
      <c r="Q146" s="28">
        <v>0.495</v>
      </c>
      <c r="R146" s="28">
        <v>1.22</v>
      </c>
    </row>
    <row r="147" spans="16:18" x14ac:dyDescent="0.5">
      <c r="P147" s="28">
        <v>2.0110000000000001</v>
      </c>
      <c r="Q147" s="28">
        <v>0.50800000000000001</v>
      </c>
      <c r="R147" s="28">
        <v>1.2450000000000001</v>
      </c>
    </row>
    <row r="148" spans="16:18" x14ac:dyDescent="0.5">
      <c r="P148" s="28">
        <v>2.0019999999999998</v>
      </c>
      <c r="Q148" s="28">
        <v>0.52800000000000002</v>
      </c>
      <c r="R148" s="28">
        <v>1.24</v>
      </c>
    </row>
    <row r="149" spans="16:18" x14ac:dyDescent="0.5">
      <c r="P149" s="28">
        <v>2.0390000000000001</v>
      </c>
      <c r="Q149" s="28">
        <v>0.53200000000000003</v>
      </c>
      <c r="R149" s="28">
        <v>1.27</v>
      </c>
    </row>
    <row r="150" spans="16:18" x14ac:dyDescent="0.5">
      <c r="P150" s="28">
        <v>2.0760000000000001</v>
      </c>
      <c r="Q150" s="28">
        <v>0.53</v>
      </c>
      <c r="R150" s="28">
        <v>1.32</v>
      </c>
    </row>
    <row r="151" spans="16:18" x14ac:dyDescent="0.5">
      <c r="P151" s="28">
        <v>2.085</v>
      </c>
      <c r="Q151" s="28">
        <v>0.54600000000000004</v>
      </c>
      <c r="R151" s="28">
        <v>1.27</v>
      </c>
    </row>
    <row r="152" spans="16:18" x14ac:dyDescent="0.5">
      <c r="P152" s="28">
        <v>2.0760000000000001</v>
      </c>
      <c r="Q152" s="28">
        <v>0.52800000000000002</v>
      </c>
      <c r="R152" s="28">
        <v>1.216</v>
      </c>
    </row>
    <row r="153" spans="16:18" x14ac:dyDescent="0.5">
      <c r="P153" s="28">
        <v>2.0390000000000001</v>
      </c>
      <c r="Q153" s="28">
        <v>0.52200000000000002</v>
      </c>
      <c r="R153" s="28">
        <v>1.17</v>
      </c>
    </row>
    <row r="154" spans="16:18" x14ac:dyDescent="0.5">
      <c r="P154" s="28">
        <v>2.0390000000000001</v>
      </c>
      <c r="Q154" s="28">
        <v>0.50800000000000001</v>
      </c>
      <c r="R154" s="28">
        <v>1.1579999999999999</v>
      </c>
    </row>
    <row r="155" spans="16:18" x14ac:dyDescent="0.5">
      <c r="P155" s="28">
        <v>1.9930000000000001</v>
      </c>
      <c r="Q155" s="28">
        <v>0.51800000000000002</v>
      </c>
      <c r="R155" s="28">
        <v>1.17</v>
      </c>
    </row>
    <row r="156" spans="16:18" x14ac:dyDescent="0.5">
      <c r="P156" s="28">
        <v>2.02</v>
      </c>
      <c r="Q156" s="28">
        <v>0.50600000000000001</v>
      </c>
      <c r="R156" s="28">
        <v>1.139</v>
      </c>
    </row>
    <row r="157" spans="16:18" x14ac:dyDescent="0.5">
      <c r="P157" s="28">
        <v>1.9650000000000001</v>
      </c>
      <c r="Q157" s="28">
        <v>0.50800000000000001</v>
      </c>
      <c r="R157" s="28">
        <v>1.1000000000000001</v>
      </c>
    </row>
    <row r="158" spans="16:18" x14ac:dyDescent="0.5">
      <c r="P158" s="28">
        <v>2.0390000000000001</v>
      </c>
      <c r="Q158" s="28">
        <v>0.5</v>
      </c>
      <c r="R158" s="28">
        <v>1.19</v>
      </c>
    </row>
    <row r="159" spans="16:18" x14ac:dyDescent="0.5">
      <c r="P159" s="28">
        <v>2.0569999999999999</v>
      </c>
      <c r="Q159" s="28">
        <v>0.50800000000000001</v>
      </c>
      <c r="R159" s="28">
        <v>1.2529999999999999</v>
      </c>
    </row>
    <row r="160" spans="16:18" x14ac:dyDescent="0.5">
      <c r="P160" s="28">
        <v>2.0569999999999999</v>
      </c>
      <c r="Q160" s="28">
        <v>0.51600000000000001</v>
      </c>
      <c r="R160" s="28">
        <v>1.25</v>
      </c>
    </row>
    <row r="161" spans="16:18" x14ac:dyDescent="0.5">
      <c r="P161" s="28">
        <v>1.891</v>
      </c>
      <c r="Q161" s="28">
        <v>0.52600000000000002</v>
      </c>
      <c r="R161" s="28">
        <v>1.2450000000000001</v>
      </c>
    </row>
    <row r="162" spans="16:18" x14ac:dyDescent="0.5">
      <c r="P162" s="28">
        <v>1.8540000000000001</v>
      </c>
      <c r="Q162" s="28">
        <v>0.51</v>
      </c>
      <c r="R162" s="28">
        <v>1.1499999999999999</v>
      </c>
    </row>
    <row r="163" spans="16:18" x14ac:dyDescent="0.5">
      <c r="P163" s="28">
        <v>1.863</v>
      </c>
      <c r="Q163" s="28">
        <v>0.51</v>
      </c>
      <c r="R163" s="28">
        <v>1.157</v>
      </c>
    </row>
    <row r="164" spans="16:18" x14ac:dyDescent="0.5">
      <c r="P164" s="28">
        <v>1.8440000000000001</v>
      </c>
      <c r="Q164" s="28">
        <v>0.51</v>
      </c>
      <c r="R164" s="28">
        <v>1.165</v>
      </c>
    </row>
    <row r="165" spans="16:18" x14ac:dyDescent="0.5">
      <c r="P165" s="28">
        <v>1.9</v>
      </c>
      <c r="Q165" s="28">
        <v>0.52200000000000002</v>
      </c>
      <c r="R165" s="28">
        <v>1.204</v>
      </c>
    </row>
    <row r="166" spans="16:18" x14ac:dyDescent="0.5">
      <c r="P166" s="28">
        <v>1.835</v>
      </c>
      <c r="Q166" s="28">
        <v>0.51</v>
      </c>
      <c r="R166" s="28">
        <v>1.2310000000000001</v>
      </c>
    </row>
    <row r="167" spans="16:18" x14ac:dyDescent="0.5">
      <c r="P167" s="28">
        <v>1.6679999999999999</v>
      </c>
      <c r="Q167" s="28">
        <v>0.51</v>
      </c>
      <c r="R167" s="28">
        <v>1.22</v>
      </c>
    </row>
    <row r="168" spans="16:18" x14ac:dyDescent="0.5">
      <c r="P168" s="28">
        <v>1.677</v>
      </c>
      <c r="Q168" s="28">
        <v>0.499</v>
      </c>
      <c r="R168" s="28">
        <v>1.2350000000000001</v>
      </c>
    </row>
    <row r="169" spans="16:18" x14ac:dyDescent="0.5">
      <c r="P169" s="28">
        <v>1.7150000000000001</v>
      </c>
      <c r="Q169" s="28">
        <v>0.49</v>
      </c>
      <c r="R169" s="28">
        <v>1.252</v>
      </c>
    </row>
    <row r="170" spans="16:18" x14ac:dyDescent="0.5">
      <c r="P170" s="28">
        <v>1.724</v>
      </c>
      <c r="Q170" s="28">
        <v>0.498</v>
      </c>
      <c r="R170" s="28">
        <v>1.32</v>
      </c>
    </row>
    <row r="171" spans="16:18" x14ac:dyDescent="0.5">
      <c r="P171" s="28">
        <v>1.6870000000000001</v>
      </c>
      <c r="Q171" s="28">
        <v>0.48</v>
      </c>
      <c r="R171" s="28">
        <v>1.28</v>
      </c>
    </row>
    <row r="172" spans="16:18" x14ac:dyDescent="0.5">
      <c r="P172" s="28">
        <v>1.752</v>
      </c>
      <c r="Q172" s="28">
        <v>0.49</v>
      </c>
      <c r="R172" s="28">
        <v>1.29</v>
      </c>
    </row>
    <row r="173" spans="16:18" x14ac:dyDescent="0.5">
      <c r="P173" s="28">
        <v>1.77</v>
      </c>
      <c r="Q173" s="28">
        <v>0.52</v>
      </c>
      <c r="R173" s="28">
        <v>1.2450000000000001</v>
      </c>
    </row>
    <row r="174" spans="16:18" x14ac:dyDescent="0.5">
      <c r="P174" s="28">
        <v>1.7609999999999999</v>
      </c>
      <c r="Q174" s="28">
        <v>0.51</v>
      </c>
      <c r="R174" s="28">
        <v>1.2350000000000001</v>
      </c>
    </row>
    <row r="175" spans="16:18" x14ac:dyDescent="0.5">
      <c r="P175" s="28">
        <v>1.7150000000000001</v>
      </c>
      <c r="Q175" s="28">
        <v>0.52800000000000002</v>
      </c>
      <c r="R175" s="28">
        <v>1.25</v>
      </c>
    </row>
    <row r="176" spans="16:18" x14ac:dyDescent="0.5">
      <c r="P176" s="28">
        <v>1.7150000000000001</v>
      </c>
      <c r="Q176" s="28">
        <v>0.53600000000000003</v>
      </c>
      <c r="R176" s="28">
        <v>1.26</v>
      </c>
    </row>
    <row r="177" spans="16:18" x14ac:dyDescent="0.5">
      <c r="P177" s="28">
        <v>1.7649999999999999</v>
      </c>
      <c r="Q177" s="28">
        <v>0.53600000000000003</v>
      </c>
      <c r="R177" s="28">
        <v>1.27</v>
      </c>
    </row>
    <row r="178" spans="16:18" x14ac:dyDescent="0.5">
      <c r="P178" s="28">
        <v>1.752</v>
      </c>
      <c r="Q178" s="28">
        <v>0.55000000000000004</v>
      </c>
      <c r="R178" s="28">
        <v>1.3089999999999999</v>
      </c>
    </row>
    <row r="179" spans="16:18" x14ac:dyDescent="0.5">
      <c r="P179" s="28">
        <v>1.742</v>
      </c>
      <c r="Q179" s="28">
        <v>0.49</v>
      </c>
      <c r="R179" s="28">
        <v>1.335</v>
      </c>
    </row>
    <row r="180" spans="16:18" x14ac:dyDescent="0.5">
      <c r="P180" s="28">
        <v>1.677</v>
      </c>
      <c r="Q180" s="28">
        <v>0.48699999999999999</v>
      </c>
      <c r="R180" s="28">
        <v>1.403</v>
      </c>
    </row>
    <row r="181" spans="16:18" x14ac:dyDescent="0.5">
      <c r="P181" s="28">
        <v>1.6910000000000001</v>
      </c>
      <c r="Q181" s="28">
        <v>0.49399999999999999</v>
      </c>
      <c r="R181" s="28">
        <v>1.482</v>
      </c>
    </row>
    <row r="182" spans="16:18" x14ac:dyDescent="0.5">
      <c r="P182" s="28">
        <v>1.6819999999999999</v>
      </c>
      <c r="Q182" s="28">
        <v>0.495</v>
      </c>
      <c r="R182" s="28">
        <v>1.5349999999999999</v>
      </c>
    </row>
    <row r="183" spans="16:18" x14ac:dyDescent="0.5">
      <c r="P183" s="28">
        <v>1.6910000000000001</v>
      </c>
      <c r="Q183" s="28">
        <v>0.49199999999999999</v>
      </c>
      <c r="R183" s="28">
        <v>1.5449999999999999</v>
      </c>
    </row>
    <row r="184" spans="16:18" x14ac:dyDescent="0.5">
      <c r="P184" s="28">
        <v>1.659</v>
      </c>
      <c r="Q184" s="28">
        <v>0.48</v>
      </c>
      <c r="R184" s="28">
        <v>1.5620000000000001</v>
      </c>
    </row>
    <row r="185" spans="16:18" x14ac:dyDescent="0.5">
      <c r="P185" s="28">
        <v>1.659</v>
      </c>
      <c r="Q185" s="28">
        <v>0.47899999999999998</v>
      </c>
      <c r="R185" s="28">
        <v>1.5109999999999999</v>
      </c>
    </row>
    <row r="186" spans="16:18" x14ac:dyDescent="0.5">
      <c r="P186" s="28">
        <v>1.677</v>
      </c>
      <c r="Q186" s="28">
        <v>0.48499999999999999</v>
      </c>
      <c r="R186" s="28">
        <v>1.57</v>
      </c>
    </row>
    <row r="187" spans="16:18" x14ac:dyDescent="0.5">
      <c r="P187" s="28">
        <v>1.6819999999999999</v>
      </c>
      <c r="Q187" s="28">
        <v>0.48499999999999999</v>
      </c>
      <c r="R187" s="28">
        <v>1.5</v>
      </c>
    </row>
    <row r="188" spans="16:18" x14ac:dyDescent="0.5">
      <c r="P188" s="28">
        <v>1.696</v>
      </c>
      <c r="Q188" s="28">
        <v>0.498</v>
      </c>
      <c r="R188" s="28">
        <v>1.5529999999999999</v>
      </c>
    </row>
    <row r="189" spans="16:18" x14ac:dyDescent="0.5">
      <c r="P189" s="28">
        <v>1.6910000000000001</v>
      </c>
      <c r="Q189" s="28">
        <v>0.498</v>
      </c>
      <c r="R189" s="28">
        <v>1.62</v>
      </c>
    </row>
    <row r="190" spans="16:18" x14ac:dyDescent="0.5">
      <c r="P190" s="28">
        <v>1.7050000000000001</v>
      </c>
      <c r="Q190" s="28">
        <v>0.504</v>
      </c>
      <c r="R190" s="28">
        <v>1.665</v>
      </c>
    </row>
    <row r="191" spans="16:18" x14ac:dyDescent="0.5">
      <c r="P191" s="28">
        <v>1.7150000000000001</v>
      </c>
      <c r="Q191" s="28">
        <v>0.496</v>
      </c>
      <c r="R191" s="28">
        <v>1.7130000000000001</v>
      </c>
    </row>
    <row r="192" spans="16:18" x14ac:dyDescent="0.5">
      <c r="P192" s="28">
        <v>1.738</v>
      </c>
      <c r="Q192" s="28">
        <v>0.49</v>
      </c>
      <c r="R192" s="28">
        <v>1.69</v>
      </c>
    </row>
    <row r="193" spans="16:18" x14ac:dyDescent="0.5">
      <c r="P193" s="28">
        <v>1.738</v>
      </c>
      <c r="Q193" s="28">
        <v>0.49</v>
      </c>
      <c r="R193" s="28">
        <v>1.718</v>
      </c>
    </row>
    <row r="194" spans="16:18" x14ac:dyDescent="0.5">
      <c r="P194" s="28">
        <v>1.742</v>
      </c>
      <c r="Q194" s="28">
        <v>0.49</v>
      </c>
      <c r="R194" s="28">
        <v>1.66</v>
      </c>
    </row>
    <row r="195" spans="16:18" x14ac:dyDescent="0.5">
      <c r="P195" s="28">
        <v>1.752</v>
      </c>
      <c r="Q195" s="28">
        <v>0.499</v>
      </c>
      <c r="R195" s="28">
        <v>1.649</v>
      </c>
    </row>
    <row r="196" spans="16:18" x14ac:dyDescent="0.5">
      <c r="P196" s="28">
        <v>1.752</v>
      </c>
      <c r="Q196" s="28">
        <v>0.48899999999999999</v>
      </c>
      <c r="R196" s="28">
        <v>1.5509999999999999</v>
      </c>
    </row>
    <row r="197" spans="16:18" x14ac:dyDescent="0.5">
      <c r="P197" s="28">
        <v>1.752</v>
      </c>
      <c r="Q197" s="28">
        <v>0.47499999999999998</v>
      </c>
      <c r="R197" s="28">
        <v>1.4119999999999999</v>
      </c>
    </row>
    <row r="198" spans="16:18" x14ac:dyDescent="0.5">
      <c r="P198" s="28">
        <v>1.742</v>
      </c>
      <c r="Q198" s="28">
        <v>0.48799999999999999</v>
      </c>
      <c r="R198" s="28">
        <v>1.4510000000000001</v>
      </c>
    </row>
    <row r="199" spans="16:18" x14ac:dyDescent="0.5">
      <c r="P199" s="28">
        <v>1.7010000000000001</v>
      </c>
      <c r="Q199" s="28">
        <v>0.47799999999999998</v>
      </c>
      <c r="R199" s="28">
        <v>1.44</v>
      </c>
    </row>
    <row r="200" spans="16:18" x14ac:dyDescent="0.5">
      <c r="P200" s="28">
        <v>1.6870000000000001</v>
      </c>
      <c r="Q200" s="28">
        <v>0.47599999999999998</v>
      </c>
      <c r="R200" s="28">
        <v>1.5209999999999999</v>
      </c>
    </row>
    <row r="201" spans="16:18" x14ac:dyDescent="0.5">
      <c r="P201" s="28">
        <v>1.7190000000000001</v>
      </c>
      <c r="Q201" s="28">
        <v>0.47399999999999998</v>
      </c>
      <c r="R201" s="28">
        <v>1.57</v>
      </c>
    </row>
    <row r="202" spans="16:18" x14ac:dyDescent="0.5">
      <c r="P202" s="28">
        <v>1.742</v>
      </c>
      <c r="Q202" s="28">
        <v>0.48399999999999999</v>
      </c>
      <c r="R202" s="28">
        <v>1.522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Ελάχιστη Διακύμανση</vt:lpstr>
      <vt:lpstr>Sheet1</vt:lpstr>
      <vt:lpstr>Μέγιστη Απόδοση</vt:lpstr>
      <vt:lpstr>Μέγιστη Διαφορά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Nikos Halidias</cp:lastModifiedBy>
  <dcterms:created xsi:type="dcterms:W3CDTF">2021-03-21T14:38:06Z</dcterms:created>
  <dcterms:modified xsi:type="dcterms:W3CDTF">2022-05-18T04:58:34Z</dcterms:modified>
</cp:coreProperties>
</file>