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45435" yWindow="1155" windowWidth="16185" windowHeight="8595" firstSheet="7" activeTab="9"/>
  </bookViews>
  <sheets>
    <sheet name="pop+surface" sheetId="1" r:id="rId1"/>
    <sheet name="supply" sheetId="2" r:id="rId2"/>
    <sheet name="supply indicators" sheetId="8" r:id="rId3"/>
    <sheet name="demand" sheetId="3" r:id="rId4"/>
    <sheet name="demand indicators" sheetId="9" r:id="rId5"/>
    <sheet name="population" sheetId="7" r:id="rId6"/>
    <sheet name="employment per branch" sheetId="5" r:id="rId7"/>
    <sheet name="employment enterprises" sheetId="12" r:id="rId8"/>
    <sheet name="ages-actives-unemployment" sheetId="4" r:id="rId9"/>
    <sheet name="Gross Added Value 2017" sheetId="6" r:id="rId10"/>
  </sheets>
  <externalReferences>
    <externalReference r:id="rId11"/>
  </externalReferences>
  <definedNames>
    <definedName name="_xlnm._FilterDatabase" localSheetId="6" hidden="1">'employment per branch'!$A$3:$BB$54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7" i="2"/>
  <c r="E57" l="1"/>
  <c r="F14" l="1"/>
  <c r="F4"/>
  <c r="G45"/>
  <c r="G51"/>
  <c r="G5"/>
  <c r="G6"/>
  <c r="G7"/>
  <c r="G8"/>
  <c r="G9"/>
  <c r="G10"/>
  <c r="G11"/>
  <c r="G12"/>
  <c r="G13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7"/>
  <c r="G38"/>
  <c r="G39"/>
  <c r="G40"/>
  <c r="G41"/>
  <c r="G42"/>
  <c r="G43"/>
  <c r="G44"/>
  <c r="G46"/>
  <c r="G47"/>
  <c r="G48"/>
  <c r="G49"/>
  <c r="G50"/>
  <c r="G52"/>
  <c r="G53"/>
  <c r="G4" l="1"/>
  <c r="G36"/>
  <c r="G14" s="1"/>
  <c r="AB83" i="4" l="1"/>
  <c r="AB84"/>
  <c r="AB85"/>
  <c r="AB86"/>
  <c r="AB82"/>
  <c r="N83"/>
  <c r="P83" s="1"/>
  <c r="N84"/>
  <c r="P84" s="1"/>
  <c r="N85"/>
  <c r="P85" s="1"/>
  <c r="N86"/>
  <c r="P86" s="1"/>
  <c r="N82"/>
  <c r="P82" s="1"/>
  <c r="M83"/>
  <c r="O83" s="1"/>
  <c r="M84"/>
  <c r="O84" s="1"/>
  <c r="M85"/>
  <c r="O85" s="1"/>
  <c r="M86"/>
  <c r="O86" s="1"/>
  <c r="M82"/>
  <c r="O82" s="1"/>
  <c r="L83"/>
  <c r="L84"/>
  <c r="L85"/>
  <c r="L86"/>
  <c r="L82"/>
  <c r="F56"/>
  <c r="F57"/>
  <c r="F58"/>
  <c r="F59"/>
  <c r="F55"/>
  <c r="Y66"/>
  <c r="Y67"/>
  <c r="Y68"/>
  <c r="Y69"/>
  <c r="Y65"/>
  <c r="X66"/>
  <c r="X67"/>
  <c r="X68"/>
  <c r="X69"/>
  <c r="X65"/>
  <c r="W66"/>
  <c r="W67"/>
  <c r="W68"/>
  <c r="W69"/>
  <c r="W65"/>
  <c r="V65"/>
  <c r="V66"/>
  <c r="V67"/>
  <c r="V68"/>
  <c r="V69"/>
  <c r="I56"/>
  <c r="I57"/>
  <c r="I58"/>
  <c r="I59"/>
  <c r="I55"/>
  <c r="D56"/>
  <c r="D57"/>
  <c r="D58"/>
  <c r="D59"/>
  <c r="D55"/>
  <c r="D79" i="5" l="1"/>
  <c r="D81"/>
  <c r="D82"/>
  <c r="D83"/>
  <c r="D78"/>
  <c r="B80"/>
  <c r="C80"/>
  <c r="J71"/>
  <c r="J72"/>
  <c r="I71"/>
  <c r="I72"/>
  <c r="H71"/>
  <c r="H72"/>
  <c r="G71"/>
  <c r="G72"/>
  <c r="D80" l="1"/>
  <c r="J69"/>
  <c r="J73"/>
  <c r="I69"/>
  <c r="I73"/>
  <c r="H69"/>
  <c r="H73"/>
  <c r="J68"/>
  <c r="I68"/>
  <c r="H68"/>
  <c r="G68"/>
  <c r="G69"/>
  <c r="G73"/>
  <c r="F70"/>
  <c r="E70"/>
  <c r="J70" s="1"/>
  <c r="D70"/>
  <c r="I70" s="1"/>
  <c r="C70"/>
  <c r="B70"/>
  <c r="G70" s="1"/>
  <c r="AE60"/>
  <c r="AE61"/>
  <c r="AE62"/>
  <c r="AE63"/>
  <c r="AE59"/>
  <c r="AC60"/>
  <c r="AC61"/>
  <c r="AC62"/>
  <c r="AC63"/>
  <c r="AC59"/>
  <c r="AA60"/>
  <c r="AA61"/>
  <c r="AA62"/>
  <c r="AA63"/>
  <c r="AA59"/>
  <c r="Y60"/>
  <c r="Y61"/>
  <c r="Y62"/>
  <c r="Y63"/>
  <c r="Y59"/>
  <c r="W60"/>
  <c r="W61"/>
  <c r="W62"/>
  <c r="W63"/>
  <c r="V60"/>
  <c r="AF60" s="1"/>
  <c r="V61"/>
  <c r="AF61" s="1"/>
  <c r="V62"/>
  <c r="AF62" s="1"/>
  <c r="V63"/>
  <c r="AF63" s="1"/>
  <c r="U60"/>
  <c r="U61"/>
  <c r="U62"/>
  <c r="U63"/>
  <c r="T60"/>
  <c r="T61"/>
  <c r="T62"/>
  <c r="T63"/>
  <c r="S60"/>
  <c r="S61"/>
  <c r="S62"/>
  <c r="S63"/>
  <c r="R60"/>
  <c r="R61"/>
  <c r="R62"/>
  <c r="R63"/>
  <c r="W59"/>
  <c r="T59"/>
  <c r="U59"/>
  <c r="V59"/>
  <c r="AF59" s="1"/>
  <c r="S59"/>
  <c r="R59"/>
  <c r="Q60"/>
  <c r="Q61"/>
  <c r="Q62"/>
  <c r="AD62" s="1"/>
  <c r="Q63"/>
  <c r="AD63" s="1"/>
  <c r="Q59"/>
  <c r="P60"/>
  <c r="P61"/>
  <c r="P62"/>
  <c r="P63"/>
  <c r="P59"/>
  <c r="O60"/>
  <c r="AB60" s="1"/>
  <c r="O61"/>
  <c r="O62"/>
  <c r="O63"/>
  <c r="O59"/>
  <c r="AB59" s="1"/>
  <c r="N60"/>
  <c r="Z60" s="1"/>
  <c r="N61"/>
  <c r="Z61" s="1"/>
  <c r="N62"/>
  <c r="Z62" s="1"/>
  <c r="N63"/>
  <c r="Z63" s="1"/>
  <c r="N59"/>
  <c r="Z59" s="1"/>
  <c r="AB61" l="1"/>
  <c r="AB63"/>
  <c r="H70"/>
  <c r="AD61"/>
  <c r="AB62"/>
  <c r="AD59"/>
  <c r="AD60"/>
  <c r="C18" i="12"/>
  <c r="D18"/>
  <c r="E18"/>
  <c r="F18"/>
  <c r="G18"/>
  <c r="H18"/>
  <c r="I18"/>
  <c r="J18"/>
  <c r="K18"/>
  <c r="L18"/>
  <c r="M18"/>
  <c r="B18"/>
  <c r="C13"/>
  <c r="D13"/>
  <c r="E13"/>
  <c r="F13"/>
  <c r="G13"/>
  <c r="H13"/>
  <c r="I13"/>
  <c r="J13"/>
  <c r="K13"/>
  <c r="L13"/>
  <c r="M13"/>
  <c r="B13"/>
  <c r="C12"/>
  <c r="D12"/>
  <c r="E12"/>
  <c r="F12"/>
  <c r="G12"/>
  <c r="H12"/>
  <c r="I12"/>
  <c r="J12"/>
  <c r="K12"/>
  <c r="L12"/>
  <c r="M12"/>
  <c r="B12"/>
  <c r="C6"/>
  <c r="D6"/>
  <c r="E6"/>
  <c r="F6"/>
  <c r="G6"/>
  <c r="H6"/>
  <c r="I6"/>
  <c r="J6"/>
  <c r="K6"/>
  <c r="L6"/>
  <c r="M6"/>
  <c r="B6"/>
  <c r="N18"/>
  <c r="N13"/>
  <c r="N12"/>
  <c r="N6"/>
  <c r="C5" i="5" l="1"/>
  <c r="Y5"/>
  <c r="Z5"/>
  <c r="AA5"/>
  <c r="AB5"/>
  <c r="AC5"/>
  <c r="AD5"/>
  <c r="AE5"/>
  <c r="AF5"/>
  <c r="AG5"/>
  <c r="AH5"/>
  <c r="AI5"/>
  <c r="AJ5"/>
  <c r="AK5"/>
  <c r="AL5"/>
  <c r="AM5"/>
  <c r="AN5"/>
  <c r="AO5"/>
  <c r="AP5"/>
  <c r="AQ5"/>
  <c r="AR5"/>
  <c r="AV5"/>
  <c r="C6"/>
  <c r="Y6"/>
  <c r="Z6"/>
  <c r="AA6"/>
  <c r="AB6"/>
  <c r="AC6"/>
  <c r="AD6"/>
  <c r="AE6"/>
  <c r="AF6"/>
  <c r="AG6"/>
  <c r="AH6"/>
  <c r="AI6"/>
  <c r="AJ6"/>
  <c r="AK6"/>
  <c r="AL6"/>
  <c r="AM6"/>
  <c r="AN6"/>
  <c r="AO6"/>
  <c r="AP6"/>
  <c r="AQ6"/>
  <c r="AR6"/>
  <c r="AV6"/>
  <c r="C7"/>
  <c r="Y7"/>
  <c r="Z7"/>
  <c r="AA7"/>
  <c r="AB7"/>
  <c r="AC7"/>
  <c r="AD7"/>
  <c r="AE7"/>
  <c r="AF7"/>
  <c r="AG7"/>
  <c r="AH7"/>
  <c r="AI7"/>
  <c r="AJ7"/>
  <c r="AK7"/>
  <c r="AL7"/>
  <c r="AM7"/>
  <c r="AN7"/>
  <c r="AO7"/>
  <c r="AP7"/>
  <c r="AQ7"/>
  <c r="AR7"/>
  <c r="AV7"/>
  <c r="C8"/>
  <c r="Y8"/>
  <c r="Z8"/>
  <c r="AA8"/>
  <c r="AB8"/>
  <c r="AC8"/>
  <c r="AD8"/>
  <c r="AE8"/>
  <c r="AF8"/>
  <c r="AG8"/>
  <c r="AH8"/>
  <c r="AI8"/>
  <c r="AJ8"/>
  <c r="AK8"/>
  <c r="AL8"/>
  <c r="AM8"/>
  <c r="AN8"/>
  <c r="AO8"/>
  <c r="AP8"/>
  <c r="AQ8"/>
  <c r="AR8"/>
  <c r="AV8"/>
  <c r="C9"/>
  <c r="Y9"/>
  <c r="Z9"/>
  <c r="AA9"/>
  <c r="AB9"/>
  <c r="AC9"/>
  <c r="AD9"/>
  <c r="AE9"/>
  <c r="AF9"/>
  <c r="AG9"/>
  <c r="AH9"/>
  <c r="AI9"/>
  <c r="AJ9"/>
  <c r="AK9"/>
  <c r="AL9"/>
  <c r="AM9"/>
  <c r="AN9"/>
  <c r="AO9"/>
  <c r="AP9"/>
  <c r="AQ9"/>
  <c r="AR9"/>
  <c r="AV9"/>
  <c r="C10"/>
  <c r="Y10"/>
  <c r="Z10"/>
  <c r="AA10"/>
  <c r="AB10"/>
  <c r="AC10"/>
  <c r="AD10"/>
  <c r="AE10"/>
  <c r="AF10"/>
  <c r="AG10"/>
  <c r="AH10"/>
  <c r="AI10"/>
  <c r="AJ10"/>
  <c r="AK10"/>
  <c r="AL10"/>
  <c r="AM10"/>
  <c r="AN10"/>
  <c r="AO10"/>
  <c r="AP10"/>
  <c r="AQ10"/>
  <c r="AR10"/>
  <c r="AV10"/>
  <c r="C11"/>
  <c r="Y11"/>
  <c r="Z11"/>
  <c r="AA11"/>
  <c r="AB11"/>
  <c r="AC11"/>
  <c r="AD11"/>
  <c r="AE11"/>
  <c r="AF11"/>
  <c r="AG11"/>
  <c r="AH11"/>
  <c r="AI11"/>
  <c r="AJ11"/>
  <c r="AK11"/>
  <c r="AL11"/>
  <c r="AM11"/>
  <c r="AN11"/>
  <c r="AO11"/>
  <c r="AP11"/>
  <c r="AQ11"/>
  <c r="AR11"/>
  <c r="AV11"/>
  <c r="C12"/>
  <c r="Y12"/>
  <c r="Z12"/>
  <c r="AA12"/>
  <c r="AB12"/>
  <c r="AC12"/>
  <c r="AD12"/>
  <c r="AE12"/>
  <c r="AF12"/>
  <c r="AG12"/>
  <c r="AH12"/>
  <c r="AI12"/>
  <c r="AJ12"/>
  <c r="AK12"/>
  <c r="AL12"/>
  <c r="AM12"/>
  <c r="AN12"/>
  <c r="AO12"/>
  <c r="AP12"/>
  <c r="AQ12"/>
  <c r="AR12"/>
  <c r="AV12"/>
  <c r="C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V13"/>
  <c r="C15"/>
  <c r="Y15"/>
  <c r="Z15"/>
  <c r="AA15"/>
  <c r="AB15"/>
  <c r="AC15"/>
  <c r="AD15"/>
  <c r="AE15"/>
  <c r="AF15"/>
  <c r="AG15"/>
  <c r="AH15"/>
  <c r="AI15"/>
  <c r="AJ15"/>
  <c r="AK15"/>
  <c r="AL15"/>
  <c r="AM15"/>
  <c r="AN15"/>
  <c r="AO15"/>
  <c r="AP15"/>
  <c r="AQ15"/>
  <c r="AR15"/>
  <c r="AV15"/>
  <c r="C16"/>
  <c r="Y16"/>
  <c r="Z16"/>
  <c r="AA16"/>
  <c r="AB16"/>
  <c r="AC16"/>
  <c r="AD16"/>
  <c r="AE16"/>
  <c r="AF16"/>
  <c r="AG16"/>
  <c r="AH16"/>
  <c r="AI16"/>
  <c r="AJ16"/>
  <c r="AK16"/>
  <c r="AL16"/>
  <c r="AM16"/>
  <c r="AN16"/>
  <c r="AO16"/>
  <c r="AP16"/>
  <c r="AQ16"/>
  <c r="AR16"/>
  <c r="AV16"/>
  <c r="C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V17"/>
  <c r="C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V18"/>
  <c r="C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V19"/>
  <c r="C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V20"/>
  <c r="C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V21"/>
  <c r="C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V22"/>
  <c r="C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V23"/>
  <c r="C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V24"/>
  <c r="C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V25"/>
  <c r="C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AQ26"/>
  <c r="AR26"/>
  <c r="AV26"/>
  <c r="C27"/>
  <c r="Y27"/>
  <c r="Z27"/>
  <c r="AA27"/>
  <c r="AB27"/>
  <c r="AC27"/>
  <c r="AD27"/>
  <c r="AE27"/>
  <c r="AF27"/>
  <c r="AG27"/>
  <c r="AH27"/>
  <c r="AI27"/>
  <c r="AJ27"/>
  <c r="AK27"/>
  <c r="AL27"/>
  <c r="AM27"/>
  <c r="AN27"/>
  <c r="AO27"/>
  <c r="AP27"/>
  <c r="AQ27"/>
  <c r="AR27"/>
  <c r="AV27"/>
  <c r="C28"/>
  <c r="Y28"/>
  <c r="Z28"/>
  <c r="AA28"/>
  <c r="AB28"/>
  <c r="AC28"/>
  <c r="AD28"/>
  <c r="AE28"/>
  <c r="AF28"/>
  <c r="AG28"/>
  <c r="AH28"/>
  <c r="AI28"/>
  <c r="AJ28"/>
  <c r="AK28"/>
  <c r="AL28"/>
  <c r="AM28"/>
  <c r="AN28"/>
  <c r="AO28"/>
  <c r="AP28"/>
  <c r="AQ28"/>
  <c r="AR28"/>
  <c r="AV28"/>
  <c r="C29"/>
  <c r="Y29"/>
  <c r="Z29"/>
  <c r="AA29"/>
  <c r="AB29"/>
  <c r="AC29"/>
  <c r="AD29"/>
  <c r="AE29"/>
  <c r="AF29"/>
  <c r="AG29"/>
  <c r="AH29"/>
  <c r="AI29"/>
  <c r="AJ29"/>
  <c r="AK29"/>
  <c r="AL29"/>
  <c r="AM29"/>
  <c r="AN29"/>
  <c r="AO29"/>
  <c r="AP29"/>
  <c r="AQ29"/>
  <c r="AR29"/>
  <c r="AV29"/>
  <c r="C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V30"/>
  <c r="C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V31"/>
  <c r="C32"/>
  <c r="Y32"/>
  <c r="Z32"/>
  <c r="AA32"/>
  <c r="AB32"/>
  <c r="AC32"/>
  <c r="AD32"/>
  <c r="AE32"/>
  <c r="AF32"/>
  <c r="AG32"/>
  <c r="AH32"/>
  <c r="AI32"/>
  <c r="AJ32"/>
  <c r="AK32"/>
  <c r="AL32"/>
  <c r="AM32"/>
  <c r="AN32"/>
  <c r="AO32"/>
  <c r="AP32"/>
  <c r="AQ32"/>
  <c r="AR32"/>
  <c r="AV32"/>
  <c r="C33"/>
  <c r="Y33"/>
  <c r="Z33"/>
  <c r="AA33"/>
  <c r="AB33"/>
  <c r="AC33"/>
  <c r="AD33"/>
  <c r="AE33"/>
  <c r="AF33"/>
  <c r="AG33"/>
  <c r="AH33"/>
  <c r="AI33"/>
  <c r="AJ33"/>
  <c r="AK33"/>
  <c r="AL33"/>
  <c r="AM33"/>
  <c r="AN33"/>
  <c r="AO33"/>
  <c r="AP33"/>
  <c r="AQ33"/>
  <c r="AR33"/>
  <c r="AV33"/>
  <c r="C34"/>
  <c r="Y34"/>
  <c r="Z34"/>
  <c r="AA34"/>
  <c r="AB34"/>
  <c r="AC34"/>
  <c r="AD34"/>
  <c r="AE34"/>
  <c r="AF34"/>
  <c r="AG34"/>
  <c r="AH34"/>
  <c r="AI34"/>
  <c r="AJ34"/>
  <c r="AK34"/>
  <c r="AL34"/>
  <c r="AM34"/>
  <c r="AN34"/>
  <c r="AO34"/>
  <c r="AP34"/>
  <c r="AQ34"/>
  <c r="AR34"/>
  <c r="AV34"/>
  <c r="C35"/>
  <c r="Y35"/>
  <c r="Z35"/>
  <c r="AA35"/>
  <c r="AB35"/>
  <c r="AC35"/>
  <c r="AD35"/>
  <c r="AE35"/>
  <c r="AF35"/>
  <c r="AG35"/>
  <c r="AH35"/>
  <c r="AI35"/>
  <c r="AJ35"/>
  <c r="AK35"/>
  <c r="AL35"/>
  <c r="AM35"/>
  <c r="AN35"/>
  <c r="AO35"/>
  <c r="AP35"/>
  <c r="AQ35"/>
  <c r="AR35"/>
  <c r="AV35"/>
  <c r="C36"/>
  <c r="Y36"/>
  <c r="Z36"/>
  <c r="AA36"/>
  <c r="AB36"/>
  <c r="AC36"/>
  <c r="AD36"/>
  <c r="AE36"/>
  <c r="AF36"/>
  <c r="AG36"/>
  <c r="AH36"/>
  <c r="AI36"/>
  <c r="AJ36"/>
  <c r="AK36"/>
  <c r="AL36"/>
  <c r="AM36"/>
  <c r="AN36"/>
  <c r="AO36"/>
  <c r="AP36"/>
  <c r="AQ36"/>
  <c r="AR36"/>
  <c r="AV36"/>
  <c r="C37"/>
  <c r="Y37"/>
  <c r="Z37"/>
  <c r="AA37"/>
  <c r="AB37"/>
  <c r="AC37"/>
  <c r="AD37"/>
  <c r="AE37"/>
  <c r="AF37"/>
  <c r="AG37"/>
  <c r="AH37"/>
  <c r="AI37"/>
  <c r="AJ37"/>
  <c r="AK37"/>
  <c r="AL37"/>
  <c r="AM37"/>
  <c r="AN37"/>
  <c r="AO37"/>
  <c r="AP37"/>
  <c r="AQ37"/>
  <c r="AR37"/>
  <c r="AV37"/>
  <c r="C38"/>
  <c r="Y38"/>
  <c r="Z38"/>
  <c r="AA38"/>
  <c r="AB38"/>
  <c r="AC38"/>
  <c r="AD38"/>
  <c r="AE38"/>
  <c r="AF38"/>
  <c r="AG38"/>
  <c r="AH38"/>
  <c r="AI38"/>
  <c r="AJ38"/>
  <c r="AK38"/>
  <c r="AL38"/>
  <c r="AM38"/>
  <c r="AN38"/>
  <c r="AO38"/>
  <c r="AP38"/>
  <c r="AQ38"/>
  <c r="AR38"/>
  <c r="AV38"/>
  <c r="C39"/>
  <c r="Y39"/>
  <c r="Z39"/>
  <c r="AA39"/>
  <c r="AB39"/>
  <c r="AC39"/>
  <c r="AD39"/>
  <c r="AE39"/>
  <c r="AF39"/>
  <c r="AG39"/>
  <c r="AH39"/>
  <c r="AI39"/>
  <c r="AJ39"/>
  <c r="AK39"/>
  <c r="AL39"/>
  <c r="AM39"/>
  <c r="AN39"/>
  <c r="AO39"/>
  <c r="AP39"/>
  <c r="AQ39"/>
  <c r="AR39"/>
  <c r="AV39"/>
  <c r="C40"/>
  <c r="Y40"/>
  <c r="Z40"/>
  <c r="AA40"/>
  <c r="AB40"/>
  <c r="AC40"/>
  <c r="AD40"/>
  <c r="AE40"/>
  <c r="AF40"/>
  <c r="AG40"/>
  <c r="AH40"/>
  <c r="AI40"/>
  <c r="AJ40"/>
  <c r="AK40"/>
  <c r="AL40"/>
  <c r="AM40"/>
  <c r="AN40"/>
  <c r="AO40"/>
  <c r="AP40"/>
  <c r="AQ40"/>
  <c r="AR40"/>
  <c r="AV40"/>
  <c r="C41"/>
  <c r="Y41"/>
  <c r="Z41"/>
  <c r="AA41"/>
  <c r="AB41"/>
  <c r="AC41"/>
  <c r="AD41"/>
  <c r="AE41"/>
  <c r="AF41"/>
  <c r="AG41"/>
  <c r="AH41"/>
  <c r="AI41"/>
  <c r="AJ41"/>
  <c r="AK41"/>
  <c r="AL41"/>
  <c r="AM41"/>
  <c r="AN41"/>
  <c r="AO41"/>
  <c r="AP41"/>
  <c r="AQ41"/>
  <c r="AR41"/>
  <c r="AV41"/>
  <c r="C42"/>
  <c r="Y42"/>
  <c r="Z42"/>
  <c r="AA42"/>
  <c r="AB42"/>
  <c r="AC42"/>
  <c r="AD42"/>
  <c r="AE42"/>
  <c r="AF42"/>
  <c r="AG42"/>
  <c r="AH42"/>
  <c r="AI42"/>
  <c r="AJ42"/>
  <c r="AK42"/>
  <c r="AL42"/>
  <c r="AM42"/>
  <c r="AN42"/>
  <c r="AO42"/>
  <c r="AP42"/>
  <c r="AQ42"/>
  <c r="AR42"/>
  <c r="AV42"/>
  <c r="C43"/>
  <c r="Y43"/>
  <c r="Z43"/>
  <c r="AA43"/>
  <c r="AB43"/>
  <c r="AC43"/>
  <c r="AD43"/>
  <c r="AE43"/>
  <c r="AF43"/>
  <c r="AG43"/>
  <c r="AH43"/>
  <c r="AI43"/>
  <c r="AJ43"/>
  <c r="AK43"/>
  <c r="AL43"/>
  <c r="AM43"/>
  <c r="AN43"/>
  <c r="AO43"/>
  <c r="AP43"/>
  <c r="AQ43"/>
  <c r="AR43"/>
  <c r="AV43"/>
  <c r="C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V44"/>
  <c r="C45"/>
  <c r="Y45"/>
  <c r="Z45"/>
  <c r="AA45"/>
  <c r="AB45"/>
  <c r="AC45"/>
  <c r="AD45"/>
  <c r="AE45"/>
  <c r="AF45"/>
  <c r="AG45"/>
  <c r="AH45"/>
  <c r="AI45"/>
  <c r="AJ45"/>
  <c r="AK45"/>
  <c r="AL45"/>
  <c r="AM45"/>
  <c r="AN45"/>
  <c r="AO45"/>
  <c r="AP45"/>
  <c r="AQ45"/>
  <c r="AR45"/>
  <c r="AV45"/>
  <c r="C46"/>
  <c r="Y46"/>
  <c r="Z46"/>
  <c r="AA46"/>
  <c r="AB46"/>
  <c r="AC46"/>
  <c r="AD46"/>
  <c r="AE46"/>
  <c r="AF46"/>
  <c r="AG46"/>
  <c r="AH46"/>
  <c r="AI46"/>
  <c r="AJ46"/>
  <c r="AK46"/>
  <c r="AL46"/>
  <c r="AM46"/>
  <c r="AN46"/>
  <c r="AO46"/>
  <c r="AP46"/>
  <c r="AQ46"/>
  <c r="AR46"/>
  <c r="AV46"/>
  <c r="C47"/>
  <c r="Y47"/>
  <c r="Z47"/>
  <c r="AA47"/>
  <c r="AB47"/>
  <c r="AC47"/>
  <c r="AD47"/>
  <c r="AE47"/>
  <c r="AF47"/>
  <c r="AG47"/>
  <c r="AH47"/>
  <c r="AI47"/>
  <c r="AJ47"/>
  <c r="AK47"/>
  <c r="AL47"/>
  <c r="AM47"/>
  <c r="AN47"/>
  <c r="AO47"/>
  <c r="AP47"/>
  <c r="AQ47"/>
  <c r="AR47"/>
  <c r="AV47"/>
  <c r="C48"/>
  <c r="Y48"/>
  <c r="Z48"/>
  <c r="AA48"/>
  <c r="AB48"/>
  <c r="AC48"/>
  <c r="AD48"/>
  <c r="AE48"/>
  <c r="AF48"/>
  <c r="AG48"/>
  <c r="AH48"/>
  <c r="AI48"/>
  <c r="AJ48"/>
  <c r="AK48"/>
  <c r="AL48"/>
  <c r="AM48"/>
  <c r="AN48"/>
  <c r="AO48"/>
  <c r="AP48"/>
  <c r="AQ48"/>
  <c r="AR48"/>
  <c r="AV48"/>
  <c r="C49"/>
  <c r="Y49"/>
  <c r="Z49"/>
  <c r="AA49"/>
  <c r="AB49"/>
  <c r="AC49"/>
  <c r="AD49"/>
  <c r="AE49"/>
  <c r="AF49"/>
  <c r="AG49"/>
  <c r="AH49"/>
  <c r="AI49"/>
  <c r="AJ49"/>
  <c r="AK49"/>
  <c r="AL49"/>
  <c r="AM49"/>
  <c r="AN49"/>
  <c r="AO49"/>
  <c r="AP49"/>
  <c r="AQ49"/>
  <c r="AR49"/>
  <c r="AV49"/>
  <c r="C50"/>
  <c r="Y50"/>
  <c r="Z50"/>
  <c r="AA50"/>
  <c r="AB50"/>
  <c r="AC50"/>
  <c r="AD50"/>
  <c r="AE50"/>
  <c r="AF50"/>
  <c r="AG50"/>
  <c r="AH50"/>
  <c r="AI50"/>
  <c r="AJ50"/>
  <c r="AK50"/>
  <c r="AL50"/>
  <c r="AM50"/>
  <c r="AN50"/>
  <c r="AO50"/>
  <c r="AP50"/>
  <c r="AQ50"/>
  <c r="AR50"/>
  <c r="AV50"/>
  <c r="C51"/>
  <c r="Y51"/>
  <c r="Z51"/>
  <c r="AA51"/>
  <c r="AB51"/>
  <c r="AC51"/>
  <c r="AD51"/>
  <c r="AE51"/>
  <c r="AF51"/>
  <c r="AG51"/>
  <c r="AH51"/>
  <c r="AI51"/>
  <c r="AJ51"/>
  <c r="AK51"/>
  <c r="AL51"/>
  <c r="AM51"/>
  <c r="AN51"/>
  <c r="AO51"/>
  <c r="AP51"/>
  <c r="AQ51"/>
  <c r="AR51"/>
  <c r="AV51"/>
  <c r="C52"/>
  <c r="Y52"/>
  <c r="Z52"/>
  <c r="AA52"/>
  <c r="AB52"/>
  <c r="AC52"/>
  <c r="AD52"/>
  <c r="AE52"/>
  <c r="AF52"/>
  <c r="AG52"/>
  <c r="AH52"/>
  <c r="AI52"/>
  <c r="AJ52"/>
  <c r="AK52"/>
  <c r="AL52"/>
  <c r="AM52"/>
  <c r="AN52"/>
  <c r="AO52"/>
  <c r="AP52"/>
  <c r="AQ52"/>
  <c r="AR52"/>
  <c r="AV52"/>
  <c r="C53"/>
  <c r="Y53"/>
  <c r="Z53"/>
  <c r="AA53"/>
  <c r="AB53"/>
  <c r="AC53"/>
  <c r="AD53"/>
  <c r="AE53"/>
  <c r="AF53"/>
  <c r="AG53"/>
  <c r="AH53"/>
  <c r="AI53"/>
  <c r="AJ53"/>
  <c r="AK53"/>
  <c r="AL53"/>
  <c r="AM53"/>
  <c r="AN53"/>
  <c r="AO53"/>
  <c r="AP53"/>
  <c r="AQ53"/>
  <c r="AR53"/>
  <c r="AV53"/>
  <c r="BA40" l="1"/>
  <c r="BA34"/>
  <c r="AW12"/>
  <c r="BA12"/>
  <c r="AY13"/>
  <c r="BA26"/>
  <c r="AW50"/>
  <c r="AW40"/>
  <c r="AW34"/>
  <c r="AW16"/>
  <c r="AW7"/>
  <c r="AW30"/>
  <c r="AY27"/>
  <c r="BA27"/>
  <c r="AY25"/>
  <c r="BA13"/>
  <c r="BA8"/>
  <c r="AW8"/>
  <c r="AY43"/>
  <c r="BA42"/>
  <c r="AW20"/>
  <c r="AY10"/>
  <c r="AY5"/>
  <c r="AW36"/>
  <c r="BA18"/>
  <c r="BA9"/>
  <c r="AW9"/>
  <c r="AW52"/>
  <c r="AW11"/>
  <c r="AW6"/>
  <c r="AW38"/>
  <c r="BA36"/>
  <c r="AW26"/>
  <c r="AW24"/>
  <c r="BA20"/>
  <c r="AW13"/>
  <c r="AY8"/>
  <c r="AY45"/>
  <c r="AW42"/>
  <c r="AW28"/>
  <c r="AY19"/>
  <c r="AY12"/>
  <c r="AY7"/>
  <c r="BA7"/>
  <c r="AW48"/>
  <c r="AW44"/>
  <c r="AW32"/>
  <c r="BA30"/>
  <c r="AW18"/>
  <c r="BA16"/>
  <c r="AY11"/>
  <c r="BA11"/>
  <c r="BA10"/>
  <c r="AW10"/>
  <c r="AY6"/>
  <c r="BA6"/>
  <c r="BA5"/>
  <c r="AW5"/>
  <c r="BA48"/>
  <c r="BA46"/>
  <c r="AY39"/>
  <c r="AY37"/>
  <c r="AY35"/>
  <c r="AY31"/>
  <c r="BA28"/>
  <c r="BA24"/>
  <c r="BA22"/>
  <c r="AW22"/>
  <c r="BA15"/>
  <c r="AY53"/>
  <c r="AY51"/>
  <c r="AY47"/>
  <c r="AY33"/>
  <c r="BA52"/>
  <c r="BA50"/>
  <c r="BA44"/>
  <c r="AY41"/>
  <c r="BA38"/>
  <c r="BA32"/>
  <c r="AY23"/>
  <c r="AY21"/>
  <c r="AY9"/>
  <c r="AY49"/>
  <c r="AW46"/>
  <c r="AY29"/>
  <c r="BA53"/>
  <c r="AW53"/>
  <c r="AY46"/>
  <c r="BA45"/>
  <c r="AW45"/>
  <c r="AY38"/>
  <c r="BA37"/>
  <c r="AW37"/>
  <c r="AY30"/>
  <c r="BA29"/>
  <c r="AW29"/>
  <c r="AY22"/>
  <c r="BA21"/>
  <c r="AW21"/>
  <c r="AY16"/>
  <c r="AW15"/>
  <c r="AY52"/>
  <c r="BA51"/>
  <c r="AW51"/>
  <c r="AY44"/>
  <c r="BA43"/>
  <c r="AW43"/>
  <c r="AY36"/>
  <c r="BA35"/>
  <c r="AW35"/>
  <c r="AY28"/>
  <c r="AW27"/>
  <c r="AY20"/>
  <c r="BA19"/>
  <c r="AW19"/>
  <c r="AY17"/>
  <c r="AY50"/>
  <c r="BA49"/>
  <c r="AW49"/>
  <c r="AY42"/>
  <c r="BA41"/>
  <c r="AW41"/>
  <c r="AY34"/>
  <c r="BA33"/>
  <c r="AW33"/>
  <c r="AY26"/>
  <c r="BA25"/>
  <c r="AW25"/>
  <c r="AY18"/>
  <c r="AY48"/>
  <c r="BA47"/>
  <c r="AW47"/>
  <c r="AY40"/>
  <c r="BA39"/>
  <c r="AW39"/>
  <c r="AY32"/>
  <c r="BA31"/>
  <c r="AW31"/>
  <c r="AY24"/>
  <c r="BA23"/>
  <c r="AW23"/>
  <c r="BA17"/>
  <c r="AW17"/>
  <c r="AY15"/>
  <c r="F5" i="9"/>
  <c r="F6"/>
  <c r="F9"/>
  <c r="F10"/>
  <c r="F17"/>
  <c r="F19"/>
  <c r="F25"/>
  <c r="F35"/>
  <c r="F43"/>
  <c r="F45"/>
  <c r="D5"/>
  <c r="D6"/>
  <c r="D7"/>
  <c r="D8"/>
  <c r="D9"/>
  <c r="D10"/>
  <c r="D12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5"/>
  <c r="D37"/>
  <c r="D38"/>
  <c r="D39"/>
  <c r="D40"/>
  <c r="D41"/>
  <c r="D42"/>
  <c r="D43"/>
  <c r="D44"/>
  <c r="D45"/>
  <c r="D46"/>
  <c r="D48"/>
  <c r="D49"/>
  <c r="D50"/>
  <c r="D51"/>
  <c r="D52"/>
  <c r="C5"/>
  <c r="C6"/>
  <c r="C7"/>
  <c r="C8"/>
  <c r="C9"/>
  <c r="C10"/>
  <c r="C12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5"/>
  <c r="C37"/>
  <c r="C38"/>
  <c r="C39"/>
  <c r="C40"/>
  <c r="C41"/>
  <c r="C42"/>
  <c r="C43"/>
  <c r="C44"/>
  <c r="C45"/>
  <c r="C46"/>
  <c r="C48"/>
  <c r="C49"/>
  <c r="C50"/>
  <c r="C51"/>
  <c r="C52"/>
  <c r="B5"/>
  <c r="B6"/>
  <c r="B7"/>
  <c r="B8"/>
  <c r="B9"/>
  <c r="B10"/>
  <c r="B12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5"/>
  <c r="B37"/>
  <c r="B38"/>
  <c r="B39"/>
  <c r="B40"/>
  <c r="B41"/>
  <c r="B42"/>
  <c r="B43"/>
  <c r="B44"/>
  <c r="B45"/>
  <c r="B46"/>
  <c r="B48"/>
  <c r="B49"/>
  <c r="B50"/>
  <c r="B51"/>
  <c r="B52"/>
  <c r="W68" i="3"/>
  <c r="V68"/>
  <c r="U60"/>
  <c r="U61"/>
  <c r="U64"/>
  <c r="U65"/>
  <c r="U72"/>
  <c r="U74"/>
  <c r="U80"/>
  <c r="U90"/>
  <c r="U98"/>
  <c r="U100"/>
  <c r="K60"/>
  <c r="K61"/>
  <c r="K62"/>
  <c r="K63"/>
  <c r="K64"/>
  <c r="K65"/>
  <c r="K67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90"/>
  <c r="K92"/>
  <c r="K93"/>
  <c r="K94"/>
  <c r="K95"/>
  <c r="K96"/>
  <c r="K97"/>
  <c r="K98"/>
  <c r="K99"/>
  <c r="K100"/>
  <c r="K101"/>
  <c r="K103"/>
  <c r="K104"/>
  <c r="K105"/>
  <c r="K106"/>
  <c r="K107"/>
  <c r="J68"/>
  <c r="N68" s="1"/>
  <c r="I68"/>
  <c r="G68"/>
  <c r="F68"/>
  <c r="N61"/>
  <c r="N62"/>
  <c r="N63"/>
  <c r="N64"/>
  <c r="N65"/>
  <c r="H60"/>
  <c r="H61"/>
  <c r="H62"/>
  <c r="H63"/>
  <c r="H64"/>
  <c r="H65"/>
  <c r="H67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90"/>
  <c r="H92"/>
  <c r="H93"/>
  <c r="H94"/>
  <c r="H95"/>
  <c r="H96"/>
  <c r="H97"/>
  <c r="H98"/>
  <c r="H99"/>
  <c r="H100"/>
  <c r="H101"/>
  <c r="H103"/>
  <c r="H104"/>
  <c r="H105"/>
  <c r="H106"/>
  <c r="H107"/>
  <c r="M107"/>
  <c r="L107"/>
  <c r="N60"/>
  <c r="N67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90"/>
  <c r="N92"/>
  <c r="N93"/>
  <c r="N94"/>
  <c r="N95"/>
  <c r="N96"/>
  <c r="N97"/>
  <c r="N98"/>
  <c r="N99"/>
  <c r="N100"/>
  <c r="N101"/>
  <c r="N103"/>
  <c r="N104"/>
  <c r="N105"/>
  <c r="N106"/>
  <c r="N107"/>
  <c r="M6"/>
  <c r="M7"/>
  <c r="M8"/>
  <c r="M9"/>
  <c r="M10"/>
  <c r="M11"/>
  <c r="M12"/>
  <c r="M15"/>
  <c r="M16"/>
  <c r="M17"/>
  <c r="M18"/>
  <c r="M19"/>
  <c r="M21"/>
  <c r="M22"/>
  <c r="M23"/>
  <c r="M24"/>
  <c r="M25"/>
  <c r="M26"/>
  <c r="M27"/>
  <c r="M28"/>
  <c r="M29"/>
  <c r="M30"/>
  <c r="M31"/>
  <c r="M32"/>
  <c r="M35"/>
  <c r="M37"/>
  <c r="M38"/>
  <c r="M40"/>
  <c r="M41"/>
  <c r="M42"/>
  <c r="M43"/>
  <c r="M44"/>
  <c r="M45"/>
  <c r="M46"/>
  <c r="M47"/>
  <c r="M48"/>
  <c r="M49"/>
  <c r="M50"/>
  <c r="M51"/>
  <c r="M52"/>
  <c r="M5"/>
  <c r="C68"/>
  <c r="B68"/>
  <c r="D61"/>
  <c r="D62"/>
  <c r="D63"/>
  <c r="D64"/>
  <c r="D65"/>
  <c r="D67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90"/>
  <c r="D92"/>
  <c r="D93"/>
  <c r="D94"/>
  <c r="D95"/>
  <c r="D96"/>
  <c r="D97"/>
  <c r="D98"/>
  <c r="D99"/>
  <c r="D100"/>
  <c r="D101"/>
  <c r="D103"/>
  <c r="D104"/>
  <c r="D105"/>
  <c r="D106"/>
  <c r="D107"/>
  <c r="D60"/>
  <c r="D68" l="1"/>
  <c r="H68"/>
  <c r="D13" i="9"/>
  <c r="X68" i="3"/>
  <c r="G13" i="9" s="1"/>
  <c r="B13"/>
  <c r="C13"/>
  <c r="M68" i="3"/>
  <c r="L68"/>
  <c r="K68"/>
  <c r="M103"/>
  <c r="L103"/>
  <c r="M61"/>
  <c r="M62"/>
  <c r="M63"/>
  <c r="M64"/>
  <c r="M65"/>
  <c r="M67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90"/>
  <c r="M92"/>
  <c r="M93"/>
  <c r="M94"/>
  <c r="M95"/>
  <c r="M96"/>
  <c r="M97"/>
  <c r="M98"/>
  <c r="M99"/>
  <c r="M100"/>
  <c r="M101"/>
  <c r="M104"/>
  <c r="M105"/>
  <c r="M106"/>
  <c r="M60"/>
  <c r="L60"/>
  <c r="L61"/>
  <c r="L62"/>
  <c r="L63"/>
  <c r="L64"/>
  <c r="L65"/>
  <c r="L67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90"/>
  <c r="L92"/>
  <c r="L93"/>
  <c r="L94"/>
  <c r="L95"/>
  <c r="L96"/>
  <c r="L97"/>
  <c r="L98"/>
  <c r="L99"/>
  <c r="L100"/>
  <c r="L101"/>
  <c r="L104"/>
  <c r="L105"/>
  <c r="L106"/>
  <c r="C58"/>
  <c r="F58"/>
  <c r="G58"/>
  <c r="I58"/>
  <c r="J58"/>
  <c r="Y68" l="1"/>
  <c r="K58"/>
  <c r="D3" i="9"/>
  <c r="B3"/>
  <c r="H58" i="3"/>
  <c r="N58"/>
  <c r="L58"/>
  <c r="X59"/>
  <c r="X60"/>
  <c r="X61"/>
  <c r="X62"/>
  <c r="X63"/>
  <c r="X64"/>
  <c r="X65"/>
  <c r="X66"/>
  <c r="X67"/>
  <c r="X69"/>
  <c r="X70"/>
  <c r="X71"/>
  <c r="X72"/>
  <c r="X73"/>
  <c r="X74"/>
  <c r="X75"/>
  <c r="X76"/>
  <c r="X77"/>
  <c r="X78"/>
  <c r="X79"/>
  <c r="X80"/>
  <c r="X81"/>
  <c r="X82"/>
  <c r="X83"/>
  <c r="X84"/>
  <c r="X85"/>
  <c r="X86"/>
  <c r="X87"/>
  <c r="X88"/>
  <c r="X89"/>
  <c r="X90"/>
  <c r="X91"/>
  <c r="X92"/>
  <c r="X93"/>
  <c r="X94"/>
  <c r="X95"/>
  <c r="X96"/>
  <c r="X97"/>
  <c r="X98"/>
  <c r="X99"/>
  <c r="X100"/>
  <c r="X101"/>
  <c r="X102"/>
  <c r="X103"/>
  <c r="X104"/>
  <c r="X105"/>
  <c r="X106"/>
  <c r="X107"/>
  <c r="V58"/>
  <c r="W58"/>
  <c r="R68"/>
  <c r="Q68"/>
  <c r="Q58"/>
  <c r="R58"/>
  <c r="U58" s="1"/>
  <c r="S59"/>
  <c r="S106"/>
  <c r="S107"/>
  <c r="S61"/>
  <c r="S62"/>
  <c r="S63"/>
  <c r="S64"/>
  <c r="S65"/>
  <c r="S66"/>
  <c r="S67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60"/>
  <c r="E5" i="9" l="1"/>
  <c r="T60" i="3"/>
  <c r="E39" i="9"/>
  <c r="T94" i="3"/>
  <c r="E31" i="9"/>
  <c r="T86" i="3"/>
  <c r="E19" i="9"/>
  <c r="T74" i="3"/>
  <c r="E10" i="9"/>
  <c r="T65" i="3"/>
  <c r="G42" i="9"/>
  <c r="Y97" i="3"/>
  <c r="G34" i="9"/>
  <c r="Y89" i="3"/>
  <c r="G26" i="9"/>
  <c r="Y81" i="3"/>
  <c r="G14" i="9"/>
  <c r="Y69" i="3"/>
  <c r="G9" i="9"/>
  <c r="Y64" i="3"/>
  <c r="G5" i="9"/>
  <c r="Y60" i="3"/>
  <c r="E50" i="9"/>
  <c r="T105" i="3"/>
  <c r="E42" i="9"/>
  <c r="T97" i="3"/>
  <c r="E30" i="9"/>
  <c r="T85" i="3"/>
  <c r="E18" i="9"/>
  <c r="T73" i="3"/>
  <c r="E9" i="9"/>
  <c r="T64" i="3"/>
  <c r="G41" i="9"/>
  <c r="Y96" i="3"/>
  <c r="G33" i="9"/>
  <c r="Y88" i="3"/>
  <c r="G25" i="9"/>
  <c r="Y80" i="3"/>
  <c r="G17" i="9"/>
  <c r="Y72" i="3"/>
  <c r="G8" i="9"/>
  <c r="Y63" i="3"/>
  <c r="E43" i="9"/>
  <c r="T98" i="3"/>
  <c r="E27" i="9"/>
  <c r="T82" i="3"/>
  <c r="E6" i="9"/>
  <c r="T61" i="3"/>
  <c r="G46" i="9"/>
  <c r="Y101" i="3"/>
  <c r="G22" i="9"/>
  <c r="Y77" i="3"/>
  <c r="E38" i="9"/>
  <c r="T93" i="3"/>
  <c r="E22" i="9"/>
  <c r="T77" i="3"/>
  <c r="E52" i="9"/>
  <c r="T107" i="3"/>
  <c r="G45" i="9"/>
  <c r="Y100" i="3"/>
  <c r="G12" i="9"/>
  <c r="Y67" i="3"/>
  <c r="E49" i="9"/>
  <c r="T104" i="3"/>
  <c r="E41" i="9"/>
  <c r="T96" i="3"/>
  <c r="T84"/>
  <c r="E29" i="9"/>
  <c r="T76" i="3"/>
  <c r="E21" i="9"/>
  <c r="E12"/>
  <c r="T67" i="3"/>
  <c r="E51" i="9"/>
  <c r="T106" i="3"/>
  <c r="G48" i="9"/>
  <c r="Y103" i="3"/>
  <c r="G36" i="9"/>
  <c r="Y91" i="3"/>
  <c r="G24" i="9"/>
  <c r="Y79" i="3"/>
  <c r="G7" i="9"/>
  <c r="Y62" i="3"/>
  <c r="E47" i="9"/>
  <c r="T102" i="3"/>
  <c r="E35" i="9"/>
  <c r="T90" i="3"/>
  <c r="E23" i="9"/>
  <c r="T78" i="3"/>
  <c r="E15" i="9"/>
  <c r="T70" i="3"/>
  <c r="G50" i="9"/>
  <c r="Y105" i="3"/>
  <c r="G38" i="9"/>
  <c r="Y93" i="3"/>
  <c r="G30" i="9"/>
  <c r="Y85" i="3"/>
  <c r="G18" i="9"/>
  <c r="Y73" i="3"/>
  <c r="F3" i="9"/>
  <c r="E46"/>
  <c r="T101" i="3"/>
  <c r="E34" i="9"/>
  <c r="T89" i="3"/>
  <c r="E26" i="9"/>
  <c r="T81" i="3"/>
  <c r="E14" i="9"/>
  <c r="T69" i="3"/>
  <c r="G49" i="9"/>
  <c r="Y104" i="3"/>
  <c r="G37" i="9"/>
  <c r="Y92" i="3"/>
  <c r="G29" i="9"/>
  <c r="Y84" i="3"/>
  <c r="G21" i="9"/>
  <c r="Y76" i="3"/>
  <c r="G4" i="9"/>
  <c r="Y59" i="3"/>
  <c r="T100"/>
  <c r="E45" i="9"/>
  <c r="T92" i="3"/>
  <c r="E37" i="9"/>
  <c r="E33"/>
  <c r="T88" i="3"/>
  <c r="E25" i="9"/>
  <c r="T80" i="3"/>
  <c r="E17" i="9"/>
  <c r="T72" i="3"/>
  <c r="E8" i="9"/>
  <c r="T63" i="3"/>
  <c r="G52" i="9"/>
  <c r="Y107" i="3"/>
  <c r="G44" i="9"/>
  <c r="Y99" i="3"/>
  <c r="G40" i="9"/>
  <c r="Y95" i="3"/>
  <c r="G32" i="9"/>
  <c r="Y87" i="3"/>
  <c r="G28" i="9"/>
  <c r="Y83" i="3"/>
  <c r="G20" i="9"/>
  <c r="Y75" i="3"/>
  <c r="G16" i="9"/>
  <c r="Y71" i="3"/>
  <c r="Y66"/>
  <c r="G11" i="9"/>
  <c r="E48"/>
  <c r="T103" i="3"/>
  <c r="E44" i="9"/>
  <c r="T99" i="3"/>
  <c r="E40" i="9"/>
  <c r="T95" i="3"/>
  <c r="E36" i="9"/>
  <c r="T91" i="3"/>
  <c r="E32" i="9"/>
  <c r="T87" i="3"/>
  <c r="E28" i="9"/>
  <c r="T83" i="3"/>
  <c r="E24" i="9"/>
  <c r="T79" i="3"/>
  <c r="E20" i="9"/>
  <c r="T75" i="3"/>
  <c r="E16" i="9"/>
  <c r="T71" i="3"/>
  <c r="E11" i="9"/>
  <c r="T66" i="3"/>
  <c r="E7" i="9"/>
  <c r="T62" i="3"/>
  <c r="E4" i="9"/>
  <c r="T59" i="3"/>
  <c r="U68"/>
  <c r="F13" i="9"/>
  <c r="G51"/>
  <c r="Y106" i="3"/>
  <c r="G47" i="9"/>
  <c r="Y102" i="3"/>
  <c r="Y98"/>
  <c r="G43" i="9"/>
  <c r="G39"/>
  <c r="Y94" i="3"/>
  <c r="Y90"/>
  <c r="G35" i="9"/>
  <c r="G31"/>
  <c r="Y86" i="3"/>
  <c r="Y82"/>
  <c r="G27" i="9"/>
  <c r="G23"/>
  <c r="Y78" i="3"/>
  <c r="Y74"/>
  <c r="G19" i="9"/>
  <c r="G15"/>
  <c r="Y70" i="3"/>
  <c r="Y65"/>
  <c r="G10" i="9"/>
  <c r="Y61" i="3"/>
  <c r="G6" i="9"/>
  <c r="S68" i="3"/>
  <c r="X58"/>
  <c r="S58"/>
  <c r="E13" i="9" l="1"/>
  <c r="T68" i="3"/>
  <c r="P68"/>
  <c r="P58"/>
  <c r="B58" l="1"/>
  <c r="J6" i="8"/>
  <c r="J7"/>
  <c r="J8"/>
  <c r="J9"/>
  <c r="J10"/>
  <c r="J11"/>
  <c r="J12"/>
  <c r="J13"/>
  <c r="J14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"/>
  <c r="E67" i="2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H67"/>
  <c r="J15" i="8" s="1"/>
  <c r="I66" i="2"/>
  <c r="I65"/>
  <c r="I64"/>
  <c r="I63"/>
  <c r="I62"/>
  <c r="I61"/>
  <c r="I60"/>
  <c r="I59"/>
  <c r="I58"/>
  <c r="H57"/>
  <c r="J5" i="8" s="1"/>
  <c r="I57" i="2" l="1"/>
  <c r="I67"/>
  <c r="M58" i="3"/>
  <c r="T58"/>
  <c r="G3" i="9"/>
  <c r="Y58" i="3"/>
  <c r="E3" i="9"/>
  <c r="C3"/>
  <c r="D58" i="3"/>
  <c r="G58" i="2" l="1"/>
  <c r="G60"/>
  <c r="G61"/>
  <c r="G62"/>
  <c r="G63"/>
  <c r="G64"/>
  <c r="G65"/>
  <c r="G66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D67"/>
  <c r="D14"/>
  <c r="E14"/>
  <c r="J103" l="1"/>
  <c r="K51" i="8"/>
  <c r="I51"/>
  <c r="J95" i="2"/>
  <c r="K43" i="8"/>
  <c r="I43"/>
  <c r="J87" i="2"/>
  <c r="K35" i="8"/>
  <c r="I35"/>
  <c r="J79" i="2"/>
  <c r="K27" i="8"/>
  <c r="I27"/>
  <c r="J71" i="2"/>
  <c r="K19" i="8"/>
  <c r="I19"/>
  <c r="K10"/>
  <c r="I10"/>
  <c r="J62" i="2"/>
  <c r="J100"/>
  <c r="I48" i="8"/>
  <c r="K48"/>
  <c r="J92" i="2"/>
  <c r="I40" i="8"/>
  <c r="K40"/>
  <c r="J88" i="2"/>
  <c r="K36" i="8"/>
  <c r="I36"/>
  <c r="J80" i="2"/>
  <c r="K28" i="8"/>
  <c r="I28"/>
  <c r="J72" i="2"/>
  <c r="K20" i="8"/>
  <c r="I20"/>
  <c r="J63" i="2"/>
  <c r="K11" i="8"/>
  <c r="I11"/>
  <c r="J105" i="2"/>
  <c r="K53" i="8"/>
  <c r="I53"/>
  <c r="J101" i="2"/>
  <c r="K49" i="8"/>
  <c r="I49"/>
  <c r="J97" i="2"/>
  <c r="K45" i="8"/>
  <c r="I45"/>
  <c r="J93" i="2"/>
  <c r="K41" i="8"/>
  <c r="I41"/>
  <c r="J89" i="2"/>
  <c r="K37" i="8"/>
  <c r="I37"/>
  <c r="J85" i="2"/>
  <c r="K33" i="8"/>
  <c r="I33"/>
  <c r="J81" i="2"/>
  <c r="K29" i="8"/>
  <c r="I29"/>
  <c r="J77" i="2"/>
  <c r="K25" i="8"/>
  <c r="I25"/>
  <c r="J73" i="2"/>
  <c r="K21" i="8"/>
  <c r="I21"/>
  <c r="J69" i="2"/>
  <c r="K17" i="8"/>
  <c r="I17"/>
  <c r="J64" i="2"/>
  <c r="K12" i="8"/>
  <c r="I12"/>
  <c r="J60" i="2"/>
  <c r="K8" i="8"/>
  <c r="I8"/>
  <c r="J99" i="2"/>
  <c r="K47" i="8"/>
  <c r="I47"/>
  <c r="J91" i="2"/>
  <c r="K39" i="8"/>
  <c r="I39"/>
  <c r="J83" i="2"/>
  <c r="K31" i="8"/>
  <c r="I31"/>
  <c r="J75" i="2"/>
  <c r="K23" i="8"/>
  <c r="I23"/>
  <c r="K14"/>
  <c r="I14"/>
  <c r="J66" i="2"/>
  <c r="J104"/>
  <c r="K52" i="8"/>
  <c r="I52"/>
  <c r="J96" i="2"/>
  <c r="K44" i="8"/>
  <c r="I44"/>
  <c r="J84" i="2"/>
  <c r="I32" i="8"/>
  <c r="K32"/>
  <c r="J76" i="2"/>
  <c r="K24" i="8"/>
  <c r="I24"/>
  <c r="J68" i="2"/>
  <c r="K16" i="8"/>
  <c r="I16"/>
  <c r="K6"/>
  <c r="I6"/>
  <c r="J58" i="2"/>
  <c r="K54" i="8"/>
  <c r="I54"/>
  <c r="J106" i="2"/>
  <c r="K50" i="8"/>
  <c r="I50"/>
  <c r="J102" i="2"/>
  <c r="K46" i="8"/>
  <c r="I46"/>
  <c r="J98" i="2"/>
  <c r="K42" i="8"/>
  <c r="I42"/>
  <c r="J94" i="2"/>
  <c r="K38" i="8"/>
  <c r="I38"/>
  <c r="J90" i="2"/>
  <c r="K34" i="8"/>
  <c r="I34"/>
  <c r="J86" i="2"/>
  <c r="K30" i="8"/>
  <c r="I30"/>
  <c r="J82" i="2"/>
  <c r="K26" i="8"/>
  <c r="I26"/>
  <c r="J78" i="2"/>
  <c r="K22" i="8"/>
  <c r="I22"/>
  <c r="J74" i="2"/>
  <c r="K18" i="8"/>
  <c r="I18"/>
  <c r="J70" i="2"/>
  <c r="K13" i="8"/>
  <c r="I13"/>
  <c r="J65" i="2"/>
  <c r="K9" i="8"/>
  <c r="I9"/>
  <c r="J61" i="2"/>
  <c r="G67"/>
  <c r="G59"/>
  <c r="H5" i="8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4"/>
  <c r="M22" l="1"/>
  <c r="N22"/>
  <c r="L22"/>
  <c r="M54"/>
  <c r="N54"/>
  <c r="L54"/>
  <c r="N16"/>
  <c r="L16"/>
  <c r="M16"/>
  <c r="N52"/>
  <c r="L52"/>
  <c r="M52"/>
  <c r="N39"/>
  <c r="L39"/>
  <c r="M39"/>
  <c r="M33"/>
  <c r="N33"/>
  <c r="L33"/>
  <c r="M49"/>
  <c r="N49"/>
  <c r="L49"/>
  <c r="N28"/>
  <c r="L28"/>
  <c r="M28"/>
  <c r="N43"/>
  <c r="L43"/>
  <c r="M43"/>
  <c r="M9"/>
  <c r="N9"/>
  <c r="L9"/>
  <c r="M26"/>
  <c r="N26"/>
  <c r="L26"/>
  <c r="M42"/>
  <c r="N42"/>
  <c r="L42"/>
  <c r="M6"/>
  <c r="N6"/>
  <c r="L6"/>
  <c r="N24"/>
  <c r="L24"/>
  <c r="M24"/>
  <c r="N47"/>
  <c r="L47"/>
  <c r="M47"/>
  <c r="M21"/>
  <c r="N21"/>
  <c r="L21"/>
  <c r="M37"/>
  <c r="N37"/>
  <c r="L37"/>
  <c r="M53"/>
  <c r="N53"/>
  <c r="L53"/>
  <c r="N36"/>
  <c r="L36"/>
  <c r="M36"/>
  <c r="N19"/>
  <c r="L19"/>
  <c r="M19"/>
  <c r="N51"/>
  <c r="L51"/>
  <c r="M51"/>
  <c r="M46"/>
  <c r="N46"/>
  <c r="L46"/>
  <c r="M25"/>
  <c r="N25"/>
  <c r="L25"/>
  <c r="J67" i="2"/>
  <c r="I15" i="8"/>
  <c r="M13"/>
  <c r="N13"/>
  <c r="L13"/>
  <c r="M30"/>
  <c r="N30"/>
  <c r="L30"/>
  <c r="N32"/>
  <c r="L32"/>
  <c r="M32"/>
  <c r="N23"/>
  <c r="L23"/>
  <c r="M23"/>
  <c r="N8"/>
  <c r="L8"/>
  <c r="M8"/>
  <c r="M41"/>
  <c r="N41"/>
  <c r="L41"/>
  <c r="N11"/>
  <c r="L11"/>
  <c r="M11"/>
  <c r="N40"/>
  <c r="L40"/>
  <c r="M40"/>
  <c r="M10"/>
  <c r="N10"/>
  <c r="L10"/>
  <c r="N27"/>
  <c r="L27"/>
  <c r="M27"/>
  <c r="J59" i="2"/>
  <c r="K7" i="8"/>
  <c r="I7"/>
  <c r="M18"/>
  <c r="N18"/>
  <c r="L18"/>
  <c r="M34"/>
  <c r="N34"/>
  <c r="L34"/>
  <c r="M50"/>
  <c r="N50"/>
  <c r="L50"/>
  <c r="N44"/>
  <c r="L44"/>
  <c r="M44"/>
  <c r="M14"/>
  <c r="N14"/>
  <c r="L14"/>
  <c r="N31"/>
  <c r="L31"/>
  <c r="M31"/>
  <c r="N12"/>
  <c r="L12"/>
  <c r="M12"/>
  <c r="M29"/>
  <c r="N29"/>
  <c r="L29"/>
  <c r="M45"/>
  <c r="N45"/>
  <c r="L45"/>
  <c r="N20"/>
  <c r="L20"/>
  <c r="M20"/>
  <c r="N48"/>
  <c r="L48"/>
  <c r="M48"/>
  <c r="N35"/>
  <c r="L35"/>
  <c r="M35"/>
  <c r="M38"/>
  <c r="N38"/>
  <c r="L38"/>
  <c r="M17"/>
  <c r="N17"/>
  <c r="L17"/>
  <c r="D57" i="2"/>
  <c r="G57" s="1"/>
  <c r="C67"/>
  <c r="K15" i="8" s="1"/>
  <c r="C57" i="2"/>
  <c r="J57" l="1"/>
  <c r="K5" i="8"/>
  <c r="I5"/>
  <c r="N15"/>
  <c r="L15"/>
  <c r="M15"/>
  <c r="N7"/>
  <c r="L7"/>
  <c r="M7"/>
  <c r="C13" i="7"/>
  <c r="D13"/>
  <c r="E13"/>
  <c r="F13"/>
  <c r="G13"/>
  <c r="H13"/>
  <c r="B13"/>
  <c r="C3"/>
  <c r="D3"/>
  <c r="E3"/>
  <c r="F3"/>
  <c r="G3"/>
  <c r="H3"/>
  <c r="B3"/>
  <c r="AZ14" i="5"/>
  <c r="BA14" s="1"/>
  <c r="AX14"/>
  <c r="AY14" s="1"/>
  <c r="AT14"/>
  <c r="AU14" s="1"/>
  <c r="D14"/>
  <c r="Y14" s="1"/>
  <c r="E14"/>
  <c r="Z14" s="1"/>
  <c r="F14"/>
  <c r="AA14" s="1"/>
  <c r="G14"/>
  <c r="AB14" s="1"/>
  <c r="H14"/>
  <c r="AC14" s="1"/>
  <c r="I14"/>
  <c r="AD14" s="1"/>
  <c r="J14"/>
  <c r="AE14" s="1"/>
  <c r="K14"/>
  <c r="AF14" s="1"/>
  <c r="L14"/>
  <c r="AG14" s="1"/>
  <c r="M14"/>
  <c r="AH14" s="1"/>
  <c r="N14"/>
  <c r="AI14" s="1"/>
  <c r="O14"/>
  <c r="AJ14" s="1"/>
  <c r="P14"/>
  <c r="AK14" s="1"/>
  <c r="Q14"/>
  <c r="AL14" s="1"/>
  <c r="R14"/>
  <c r="AM14" s="1"/>
  <c r="S14"/>
  <c r="AN14" s="1"/>
  <c r="T14"/>
  <c r="AO14" s="1"/>
  <c r="U14"/>
  <c r="AP14" s="1"/>
  <c r="V14"/>
  <c r="AQ14" s="1"/>
  <c r="W14"/>
  <c r="AR14" s="1"/>
  <c r="B14"/>
  <c r="AZ4"/>
  <c r="BA4" s="1"/>
  <c r="AX4"/>
  <c r="AY4" s="1"/>
  <c r="AT4"/>
  <c r="AU4" s="1"/>
  <c r="D4"/>
  <c r="Y4" s="1"/>
  <c r="E4"/>
  <c r="Z4" s="1"/>
  <c r="F4"/>
  <c r="AA4" s="1"/>
  <c r="G4"/>
  <c r="AB4" s="1"/>
  <c r="H4"/>
  <c r="AC4" s="1"/>
  <c r="I4"/>
  <c r="AD4" s="1"/>
  <c r="J4"/>
  <c r="AE4" s="1"/>
  <c r="K4"/>
  <c r="AF4" s="1"/>
  <c r="L4"/>
  <c r="AG4" s="1"/>
  <c r="M4"/>
  <c r="AH4" s="1"/>
  <c r="N4"/>
  <c r="AI4" s="1"/>
  <c r="O4"/>
  <c r="AJ4" s="1"/>
  <c r="P4"/>
  <c r="AK4" s="1"/>
  <c r="Q4"/>
  <c r="AL4" s="1"/>
  <c r="R4"/>
  <c r="AM4" s="1"/>
  <c r="S4"/>
  <c r="AN4" s="1"/>
  <c r="T4"/>
  <c r="AO4" s="1"/>
  <c r="U4"/>
  <c r="AP4" s="1"/>
  <c r="V4"/>
  <c r="AQ4" s="1"/>
  <c r="W4"/>
  <c r="AR4" s="1"/>
  <c r="B4"/>
  <c r="N5" i="8" l="1"/>
  <c r="L5"/>
  <c r="M5"/>
  <c r="C14" i="2"/>
  <c r="H14"/>
  <c r="C4"/>
  <c r="D4"/>
  <c r="H4"/>
  <c r="N7" i="4" l="1"/>
  <c r="N10"/>
  <c r="N34"/>
  <c r="N16"/>
  <c r="N3"/>
  <c r="N11"/>
  <c r="N14"/>
  <c r="N46"/>
  <c r="N4"/>
  <c r="N47"/>
  <c r="N30"/>
  <c r="N29"/>
  <c r="N9"/>
  <c r="N44"/>
  <c r="N13"/>
  <c r="N6"/>
  <c r="N5"/>
  <c r="N25"/>
  <c r="N19"/>
  <c r="N40"/>
  <c r="N8"/>
  <c r="N36"/>
  <c r="N42"/>
  <c r="N18"/>
  <c r="N28"/>
  <c r="N39"/>
  <c r="N24"/>
  <c r="N27"/>
  <c r="N48"/>
  <c r="N49"/>
  <c r="N20"/>
  <c r="N21"/>
  <c r="N22"/>
  <c r="N15"/>
  <c r="N43"/>
  <c r="N50"/>
  <c r="N31"/>
  <c r="N12"/>
  <c r="N23"/>
  <c r="N35"/>
  <c r="N26"/>
  <c r="N32"/>
  <c r="N33"/>
  <c r="N45"/>
  <c r="N17"/>
  <c r="N38"/>
  <c r="N41"/>
  <c r="N37"/>
  <c r="C4" i="5"/>
  <c r="AV14" l="1"/>
  <c r="AW14" s="1"/>
  <c r="AV4"/>
  <c r="AW4" s="1"/>
  <c r="C14"/>
  <c r="T50" i="4" l="1"/>
  <c r="R50"/>
  <c r="O50"/>
  <c r="K50"/>
  <c r="G50"/>
  <c r="D50"/>
  <c r="T49"/>
  <c r="R49"/>
  <c r="O49"/>
  <c r="K49"/>
  <c r="G49"/>
  <c r="D49"/>
  <c r="L49" s="1"/>
  <c r="T48"/>
  <c r="R48"/>
  <c r="O48"/>
  <c r="K48"/>
  <c r="G48"/>
  <c r="D48"/>
  <c r="T47"/>
  <c r="R47"/>
  <c r="O47"/>
  <c r="K47"/>
  <c r="G47"/>
  <c r="D47"/>
  <c r="L47" s="1"/>
  <c r="T46"/>
  <c r="R46"/>
  <c r="O46"/>
  <c r="K46"/>
  <c r="G46"/>
  <c r="D46"/>
  <c r="T45"/>
  <c r="R45"/>
  <c r="O45"/>
  <c r="K45"/>
  <c r="G45"/>
  <c r="D45"/>
  <c r="L45" s="1"/>
  <c r="T44"/>
  <c r="R44"/>
  <c r="O44"/>
  <c r="K44"/>
  <c r="G44"/>
  <c r="D44"/>
  <c r="T43"/>
  <c r="R43"/>
  <c r="O43"/>
  <c r="K43"/>
  <c r="G43"/>
  <c r="D43"/>
  <c r="L43" s="1"/>
  <c r="T42"/>
  <c r="R42"/>
  <c r="O42"/>
  <c r="K42"/>
  <c r="G42"/>
  <c r="D42"/>
  <c r="T41"/>
  <c r="R41"/>
  <c r="O41"/>
  <c r="K41"/>
  <c r="G41"/>
  <c r="D41"/>
  <c r="L41" s="1"/>
  <c r="T40"/>
  <c r="R40"/>
  <c r="O40"/>
  <c r="K40"/>
  <c r="G40"/>
  <c r="D40"/>
  <c r="T39"/>
  <c r="R39"/>
  <c r="O39"/>
  <c r="K39"/>
  <c r="G39"/>
  <c r="D39"/>
  <c r="L39" s="1"/>
  <c r="T38"/>
  <c r="R38"/>
  <c r="O38"/>
  <c r="K38"/>
  <c r="G38"/>
  <c r="D38"/>
  <c r="T37"/>
  <c r="R37"/>
  <c r="O37"/>
  <c r="K37"/>
  <c r="G37"/>
  <c r="D37"/>
  <c r="L37" s="1"/>
  <c r="T36"/>
  <c r="R36"/>
  <c r="O36"/>
  <c r="K36"/>
  <c r="G36"/>
  <c r="D36"/>
  <c r="T35"/>
  <c r="R35"/>
  <c r="O35"/>
  <c r="K35"/>
  <c r="G35"/>
  <c r="D35"/>
  <c r="L35" s="1"/>
  <c r="T34"/>
  <c r="R34"/>
  <c r="O34"/>
  <c r="K34"/>
  <c r="G34"/>
  <c r="D34"/>
  <c r="T33"/>
  <c r="R33"/>
  <c r="O33"/>
  <c r="K33"/>
  <c r="G33"/>
  <c r="D33"/>
  <c r="L33" s="1"/>
  <c r="T32"/>
  <c r="R32"/>
  <c r="O32"/>
  <c r="K32"/>
  <c r="G32"/>
  <c r="D32"/>
  <c r="T31"/>
  <c r="R31"/>
  <c r="O31"/>
  <c r="K31"/>
  <c r="G31"/>
  <c r="D31"/>
  <c r="L31" s="1"/>
  <c r="T30"/>
  <c r="R30"/>
  <c r="O30"/>
  <c r="K30"/>
  <c r="G30"/>
  <c r="D30"/>
  <c r="T29"/>
  <c r="R29"/>
  <c r="O29"/>
  <c r="K29"/>
  <c r="G29"/>
  <c r="D29"/>
  <c r="L29" s="1"/>
  <c r="T28"/>
  <c r="R28"/>
  <c r="O28"/>
  <c r="K28"/>
  <c r="G28"/>
  <c r="D28"/>
  <c r="T27"/>
  <c r="R27"/>
  <c r="O27"/>
  <c r="K27"/>
  <c r="G27"/>
  <c r="D27"/>
  <c r="L27" s="1"/>
  <c r="T26"/>
  <c r="R26"/>
  <c r="O26"/>
  <c r="K26"/>
  <c r="G26"/>
  <c r="D26"/>
  <c r="T25"/>
  <c r="R25"/>
  <c r="O25"/>
  <c r="K25"/>
  <c r="G25"/>
  <c r="D25"/>
  <c r="L25" s="1"/>
  <c r="T24"/>
  <c r="R24"/>
  <c r="O24"/>
  <c r="K24"/>
  <c r="G24"/>
  <c r="D24"/>
  <c r="T23"/>
  <c r="R23"/>
  <c r="O23"/>
  <c r="K23"/>
  <c r="G23"/>
  <c r="D23"/>
  <c r="L23" s="1"/>
  <c r="T22"/>
  <c r="R22"/>
  <c r="O22"/>
  <c r="K22"/>
  <c r="G22"/>
  <c r="D22"/>
  <c r="T21"/>
  <c r="R21"/>
  <c r="O21"/>
  <c r="K21"/>
  <c r="G21"/>
  <c r="D21"/>
  <c r="I21" s="1"/>
  <c r="T20"/>
  <c r="R20"/>
  <c r="O20"/>
  <c r="K20"/>
  <c r="G20"/>
  <c r="D20"/>
  <c r="E20" s="1"/>
  <c r="T19"/>
  <c r="R19"/>
  <c r="O19"/>
  <c r="K19"/>
  <c r="G19"/>
  <c r="D19"/>
  <c r="T18"/>
  <c r="R18"/>
  <c r="O18"/>
  <c r="K18"/>
  <c r="G18"/>
  <c r="D18"/>
  <c r="E18" s="1"/>
  <c r="T17"/>
  <c r="R17"/>
  <c r="O17"/>
  <c r="K17"/>
  <c r="G17"/>
  <c r="D17"/>
  <c r="I17" s="1"/>
  <c r="T16"/>
  <c r="R16"/>
  <c r="O16"/>
  <c r="K16"/>
  <c r="G16"/>
  <c r="D16"/>
  <c r="E16" s="1"/>
  <c r="T15"/>
  <c r="R15"/>
  <c r="O15"/>
  <c r="K15"/>
  <c r="G15"/>
  <c r="D15"/>
  <c r="L15" s="1"/>
  <c r="T14"/>
  <c r="R14"/>
  <c r="O14"/>
  <c r="K14"/>
  <c r="G14"/>
  <c r="D14"/>
  <c r="T13"/>
  <c r="R13"/>
  <c r="O13"/>
  <c r="K13"/>
  <c r="G13"/>
  <c r="D13"/>
  <c r="I13" s="1"/>
  <c r="T12"/>
  <c r="R12"/>
  <c r="O12"/>
  <c r="K12"/>
  <c r="G12"/>
  <c r="D12"/>
  <c r="E12" s="1"/>
  <c r="T11"/>
  <c r="R11"/>
  <c r="O11"/>
  <c r="K11"/>
  <c r="G11"/>
  <c r="D11"/>
  <c r="L11" s="1"/>
  <c r="T10"/>
  <c r="R10"/>
  <c r="O10"/>
  <c r="K10"/>
  <c r="G10"/>
  <c r="D10"/>
  <c r="E10" s="1"/>
  <c r="T9"/>
  <c r="R9"/>
  <c r="O9"/>
  <c r="K9"/>
  <c r="G9"/>
  <c r="D9"/>
  <c r="I9" s="1"/>
  <c r="T8"/>
  <c r="R8"/>
  <c r="O8"/>
  <c r="K8"/>
  <c r="G8"/>
  <c r="D8"/>
  <c r="E8" s="1"/>
  <c r="T7"/>
  <c r="R7"/>
  <c r="O7"/>
  <c r="K7"/>
  <c r="G7"/>
  <c r="D7"/>
  <c r="L7" s="1"/>
  <c r="T6"/>
  <c r="R6"/>
  <c r="O6"/>
  <c r="K6"/>
  <c r="G6"/>
  <c r="D6"/>
  <c r="E6" s="1"/>
  <c r="T5"/>
  <c r="R5"/>
  <c r="O5"/>
  <c r="K5"/>
  <c r="G5"/>
  <c r="D5"/>
  <c r="I5" s="1"/>
  <c r="T4"/>
  <c r="R4"/>
  <c r="O4"/>
  <c r="K4"/>
  <c r="G4"/>
  <c r="D4"/>
  <c r="E4" s="1"/>
  <c r="T3"/>
  <c r="R3"/>
  <c r="O3"/>
  <c r="K3"/>
  <c r="G3"/>
  <c r="D3"/>
  <c r="E15" l="1"/>
  <c r="P15"/>
  <c r="P7"/>
  <c r="I15"/>
  <c r="P19"/>
  <c r="I7"/>
  <c r="I37"/>
  <c r="P3"/>
  <c r="E7"/>
  <c r="E3"/>
  <c r="L3"/>
  <c r="I11"/>
  <c r="P11"/>
  <c r="E19"/>
  <c r="L19"/>
  <c r="P33"/>
  <c r="I45"/>
  <c r="I3"/>
  <c r="E11"/>
  <c r="I19"/>
  <c r="I29"/>
  <c r="P41"/>
  <c r="E5"/>
  <c r="L5"/>
  <c r="E9"/>
  <c r="L9"/>
  <c r="E13"/>
  <c r="L13"/>
  <c r="E17"/>
  <c r="L17"/>
  <c r="E21"/>
  <c r="L21"/>
  <c r="I23"/>
  <c r="P27"/>
  <c r="I31"/>
  <c r="P35"/>
  <c r="I39"/>
  <c r="P43"/>
  <c r="I47"/>
  <c r="P49"/>
  <c r="P5"/>
  <c r="P9"/>
  <c r="P13"/>
  <c r="P17"/>
  <c r="P21"/>
  <c r="I25"/>
  <c r="P29"/>
  <c r="I33"/>
  <c r="P37"/>
  <c r="I41"/>
  <c r="P45"/>
  <c r="I49"/>
  <c r="P25"/>
  <c r="P23"/>
  <c r="I27"/>
  <c r="P31"/>
  <c r="I35"/>
  <c r="P39"/>
  <c r="I43"/>
  <c r="P47"/>
  <c r="L6"/>
  <c r="L10"/>
  <c r="P14"/>
  <c r="I14"/>
  <c r="L18"/>
  <c r="P22"/>
  <c r="I22"/>
  <c r="L22"/>
  <c r="P36"/>
  <c r="I36"/>
  <c r="L36"/>
  <c r="E36"/>
  <c r="E14"/>
  <c r="E22"/>
  <c r="P30"/>
  <c r="I30"/>
  <c r="E30"/>
  <c r="L30"/>
  <c r="P38"/>
  <c r="I38"/>
  <c r="E38"/>
  <c r="L38"/>
  <c r="P46"/>
  <c r="I46"/>
  <c r="E46"/>
  <c r="L46"/>
  <c r="P6"/>
  <c r="I6"/>
  <c r="P10"/>
  <c r="I10"/>
  <c r="L14"/>
  <c r="P18"/>
  <c r="I18"/>
  <c r="P28"/>
  <c r="I28"/>
  <c r="L28"/>
  <c r="E28"/>
  <c r="P44"/>
  <c r="I44"/>
  <c r="L44"/>
  <c r="E44"/>
  <c r="P4"/>
  <c r="I4"/>
  <c r="L4"/>
  <c r="P8"/>
  <c r="I8"/>
  <c r="L8"/>
  <c r="P12"/>
  <c r="I12"/>
  <c r="L12"/>
  <c r="P16"/>
  <c r="I16"/>
  <c r="L16"/>
  <c r="P20"/>
  <c r="I20"/>
  <c r="L20"/>
  <c r="P24"/>
  <c r="I24"/>
  <c r="L24"/>
  <c r="E24"/>
  <c r="P32"/>
  <c r="I32"/>
  <c r="L32"/>
  <c r="E32"/>
  <c r="P40"/>
  <c r="I40"/>
  <c r="L40"/>
  <c r="E40"/>
  <c r="P48"/>
  <c r="I48"/>
  <c r="L48"/>
  <c r="E48"/>
  <c r="P26"/>
  <c r="I26"/>
  <c r="E26"/>
  <c r="L26"/>
  <c r="P34"/>
  <c r="I34"/>
  <c r="E34"/>
  <c r="L34"/>
  <c r="P42"/>
  <c r="I42"/>
  <c r="E42"/>
  <c r="L42"/>
  <c r="P50"/>
  <c r="I50"/>
  <c r="L50"/>
  <c r="E50"/>
  <c r="E23"/>
  <c r="E25"/>
  <c r="E27"/>
  <c r="E29"/>
  <c r="E31"/>
  <c r="E33"/>
  <c r="E35"/>
  <c r="E37"/>
  <c r="E39"/>
  <c r="E41"/>
  <c r="E43"/>
  <c r="E45"/>
  <c r="E47"/>
  <c r="E49"/>
  <c r="X39" i="3"/>
  <c r="Y39" s="1"/>
  <c r="S39"/>
  <c r="T39" s="1"/>
  <c r="X36"/>
  <c r="Y36" s="1"/>
  <c r="S36"/>
  <c r="T36" s="1"/>
  <c r="X34"/>
  <c r="Y34" s="1"/>
  <c r="S34"/>
  <c r="T34" s="1"/>
  <c r="X33"/>
  <c r="Y33" s="1"/>
  <c r="S33"/>
  <c r="T33" s="1"/>
  <c r="X20"/>
  <c r="Y20" s="1"/>
  <c r="S20"/>
  <c r="T20" s="1"/>
  <c r="X14"/>
  <c r="Y14" s="1"/>
  <c r="S14"/>
  <c r="T14" s="1"/>
  <c r="X4"/>
  <c r="Y4" s="1"/>
  <c r="S4"/>
  <c r="T4" s="1"/>
  <c r="X47"/>
  <c r="Y47" s="1"/>
  <c r="S47"/>
  <c r="T47" s="1"/>
  <c r="N47"/>
  <c r="L47"/>
  <c r="X11"/>
  <c r="Y11" s="1"/>
  <c r="S11"/>
  <c r="T11" s="1"/>
  <c r="N11"/>
  <c r="L11"/>
  <c r="X38"/>
  <c r="Y38" s="1"/>
  <c r="S38"/>
  <c r="T38" s="1"/>
  <c r="N38"/>
  <c r="L38"/>
  <c r="X8"/>
  <c r="Y8" s="1"/>
  <c r="S8"/>
  <c r="T8" s="1"/>
  <c r="N8"/>
  <c r="L8"/>
  <c r="X32"/>
  <c r="Y32" s="1"/>
  <c r="S32"/>
  <c r="T32" s="1"/>
  <c r="N32"/>
  <c r="L32"/>
  <c r="X12"/>
  <c r="Y12" s="1"/>
  <c r="S12"/>
  <c r="T12" s="1"/>
  <c r="N12"/>
  <c r="L12"/>
  <c r="X30"/>
  <c r="Y30" s="1"/>
  <c r="S30"/>
  <c r="T30" s="1"/>
  <c r="N30"/>
  <c r="L30"/>
  <c r="X40"/>
  <c r="Y40" s="1"/>
  <c r="S40"/>
  <c r="T40" s="1"/>
  <c r="N40"/>
  <c r="L40"/>
  <c r="X41"/>
  <c r="Y41" s="1"/>
  <c r="S41"/>
  <c r="T41" s="1"/>
  <c r="N41"/>
  <c r="L41"/>
  <c r="X48"/>
  <c r="Y48" s="1"/>
  <c r="S48"/>
  <c r="T48" s="1"/>
  <c r="N48"/>
  <c r="L48"/>
  <c r="X29"/>
  <c r="Y29" s="1"/>
  <c r="S29"/>
  <c r="T29" s="1"/>
  <c r="N29"/>
  <c r="L29"/>
  <c r="W18"/>
  <c r="X18" s="1"/>
  <c r="Y18" s="1"/>
  <c r="S18"/>
  <c r="T18" s="1"/>
  <c r="N18"/>
  <c r="L18"/>
  <c r="X46"/>
  <c r="Y46" s="1"/>
  <c r="S46"/>
  <c r="T46" s="1"/>
  <c r="N46"/>
  <c r="L46"/>
  <c r="W21"/>
  <c r="X21" s="1"/>
  <c r="Y21" s="1"/>
  <c r="S21"/>
  <c r="T21" s="1"/>
  <c r="N21"/>
  <c r="L21"/>
  <c r="W15"/>
  <c r="X15" s="1"/>
  <c r="Y15" s="1"/>
  <c r="S15"/>
  <c r="T15" s="1"/>
  <c r="N15"/>
  <c r="L15"/>
  <c r="W44"/>
  <c r="X44" s="1"/>
  <c r="Y44" s="1"/>
  <c r="U44"/>
  <c r="S44"/>
  <c r="T44" s="1"/>
  <c r="N44"/>
  <c r="L44"/>
  <c r="X26"/>
  <c r="Y26" s="1"/>
  <c r="S26"/>
  <c r="T26" s="1"/>
  <c r="N26"/>
  <c r="L26"/>
  <c r="X31"/>
  <c r="Y31" s="1"/>
  <c r="S31"/>
  <c r="T31" s="1"/>
  <c r="N31"/>
  <c r="L31"/>
  <c r="W16"/>
  <c r="X16" s="1"/>
  <c r="Y16" s="1"/>
  <c r="S16"/>
  <c r="T16" s="1"/>
  <c r="N16"/>
  <c r="L16"/>
  <c r="W50"/>
  <c r="X50" s="1"/>
  <c r="Y50" s="1"/>
  <c r="S50"/>
  <c r="T50" s="1"/>
  <c r="N50"/>
  <c r="L50"/>
  <c r="X49"/>
  <c r="Y49" s="1"/>
  <c r="S49"/>
  <c r="T49" s="1"/>
  <c r="N49"/>
  <c r="L49"/>
  <c r="W42"/>
  <c r="X42" s="1"/>
  <c r="Y42" s="1"/>
  <c r="S42"/>
  <c r="T42" s="1"/>
  <c r="N42"/>
  <c r="L42"/>
  <c r="W7"/>
  <c r="X7" s="1"/>
  <c r="Y7" s="1"/>
  <c r="S7"/>
  <c r="T7" s="1"/>
  <c r="N7"/>
  <c r="L7"/>
  <c r="X28"/>
  <c r="Y28" s="1"/>
  <c r="S28"/>
  <c r="T28" s="1"/>
  <c r="N28"/>
  <c r="L28"/>
  <c r="X52"/>
  <c r="Y52" s="1"/>
  <c r="S52"/>
  <c r="T52" s="1"/>
  <c r="N52"/>
  <c r="L52"/>
  <c r="W45"/>
  <c r="X45" s="1"/>
  <c r="Y45" s="1"/>
  <c r="S45"/>
  <c r="T45" s="1"/>
  <c r="N45"/>
  <c r="L45"/>
  <c r="W6"/>
  <c r="X6" s="1"/>
  <c r="Y6" s="1"/>
  <c r="U6"/>
  <c r="S6"/>
  <c r="T6" s="1"/>
  <c r="N6"/>
  <c r="L6"/>
  <c r="X51"/>
  <c r="Y51" s="1"/>
  <c r="S51"/>
  <c r="T51" s="1"/>
  <c r="N51"/>
  <c r="L51"/>
  <c r="X27"/>
  <c r="Y27" s="1"/>
  <c r="S27"/>
  <c r="T27" s="1"/>
  <c r="N27"/>
  <c r="L27"/>
  <c r="W35"/>
  <c r="X35" s="1"/>
  <c r="Y35" s="1"/>
  <c r="U35"/>
  <c r="S35"/>
  <c r="T35" s="1"/>
  <c r="N35"/>
  <c r="L35"/>
  <c r="W10"/>
  <c r="X10" s="1"/>
  <c r="Y10" s="1"/>
  <c r="U10"/>
  <c r="S10"/>
  <c r="T10" s="1"/>
  <c r="N10"/>
  <c r="L10"/>
  <c r="X23"/>
  <c r="Y23" s="1"/>
  <c r="S23"/>
  <c r="T23" s="1"/>
  <c r="N23"/>
  <c r="L23"/>
  <c r="X37"/>
  <c r="Y37" s="1"/>
  <c r="S37"/>
  <c r="T37" s="1"/>
  <c r="N37"/>
  <c r="L37"/>
  <c r="W5"/>
  <c r="X5" s="1"/>
  <c r="Y5" s="1"/>
  <c r="U5"/>
  <c r="S5"/>
  <c r="T5" s="1"/>
  <c r="N5"/>
  <c r="L5"/>
  <c r="X24"/>
  <c r="Y24" s="1"/>
  <c r="S24"/>
  <c r="T24" s="1"/>
  <c r="N24"/>
  <c r="L24"/>
  <c r="W22"/>
  <c r="X22" s="1"/>
  <c r="Y22" s="1"/>
  <c r="S22"/>
  <c r="T22" s="1"/>
  <c r="N22"/>
  <c r="L22"/>
  <c r="W43"/>
  <c r="X43" s="1"/>
  <c r="Y43" s="1"/>
  <c r="U43"/>
  <c r="S43"/>
  <c r="T43" s="1"/>
  <c r="N43"/>
  <c r="L43"/>
  <c r="W17"/>
  <c r="X17" s="1"/>
  <c r="Y17" s="1"/>
  <c r="U17"/>
  <c r="S17"/>
  <c r="T17" s="1"/>
  <c r="N17"/>
  <c r="L17"/>
  <c r="W9"/>
  <c r="X9" s="1"/>
  <c r="Y9" s="1"/>
  <c r="U9"/>
  <c r="S9"/>
  <c r="T9" s="1"/>
  <c r="N9"/>
  <c r="L9"/>
  <c r="W19"/>
  <c r="X19" s="1"/>
  <c r="Y19" s="1"/>
  <c r="U19"/>
  <c r="S19"/>
  <c r="T19" s="1"/>
  <c r="N19"/>
  <c r="L19"/>
  <c r="W25"/>
  <c r="X25" s="1"/>
  <c r="Y25" s="1"/>
  <c r="U25"/>
  <c r="S25"/>
  <c r="T25" s="1"/>
  <c r="N25"/>
  <c r="L25"/>
  <c r="I53" i="2" l="1"/>
  <c r="C54" i="8" s="1"/>
  <c r="I52" i="2"/>
  <c r="C53" i="8" s="1"/>
  <c r="I51" i="2"/>
  <c r="C52" i="8" s="1"/>
  <c r="I50" i="2"/>
  <c r="C51" i="8" s="1"/>
  <c r="I49" i="2"/>
  <c r="C50" i="8" s="1"/>
  <c r="I48" i="2"/>
  <c r="C49" i="8" s="1"/>
  <c r="I47" i="2"/>
  <c r="C48" i="8" s="1"/>
  <c r="I46" i="2"/>
  <c r="C47" i="8" s="1"/>
  <c r="I45" i="2"/>
  <c r="C46" i="8" s="1"/>
  <c r="I44" i="2"/>
  <c r="C45" i="8" s="1"/>
  <c r="I43" i="2"/>
  <c r="C44" i="8" s="1"/>
  <c r="I42" i="2"/>
  <c r="C43" i="8" s="1"/>
  <c r="I41" i="2"/>
  <c r="C42" i="8" s="1"/>
  <c r="I40" i="2"/>
  <c r="C41" i="8" s="1"/>
  <c r="I39" i="2"/>
  <c r="C40" i="8" s="1"/>
  <c r="I38" i="2"/>
  <c r="C39" i="8" s="1"/>
  <c r="I37" i="2"/>
  <c r="C38" i="8" s="1"/>
  <c r="I36" i="2"/>
  <c r="C37" i="8" s="1"/>
  <c r="I35" i="2"/>
  <c r="C36" i="8" s="1"/>
  <c r="I34" i="2"/>
  <c r="C35" i="8" s="1"/>
  <c r="I33" i="2"/>
  <c r="C34" i="8" s="1"/>
  <c r="I32" i="2"/>
  <c r="C33" i="8" s="1"/>
  <c r="I31" i="2"/>
  <c r="C32" i="8" s="1"/>
  <c r="I30" i="2"/>
  <c r="C31" i="8" s="1"/>
  <c r="I29" i="2"/>
  <c r="C30" i="8" s="1"/>
  <c r="I28" i="2"/>
  <c r="C29" i="8" s="1"/>
  <c r="I27" i="2"/>
  <c r="C28" i="8" s="1"/>
  <c r="I26" i="2"/>
  <c r="C27" i="8" s="1"/>
  <c r="I25" i="2"/>
  <c r="C26" i="8" s="1"/>
  <c r="I24" i="2"/>
  <c r="C25" i="8" s="1"/>
  <c r="I23" i="2"/>
  <c r="C24" i="8" s="1"/>
  <c r="I22" i="2"/>
  <c r="C23" i="8" s="1"/>
  <c r="I21" i="2"/>
  <c r="C22" i="8" s="1"/>
  <c r="I20" i="2"/>
  <c r="C21" i="8" s="1"/>
  <c r="I19" i="2"/>
  <c r="C20" i="8" s="1"/>
  <c r="I18" i="2"/>
  <c r="C19" i="8" s="1"/>
  <c r="I17" i="2"/>
  <c r="C18" i="8" s="1"/>
  <c r="I16" i="2"/>
  <c r="C17" i="8" s="1"/>
  <c r="I15" i="2"/>
  <c r="C16" i="8" s="1"/>
  <c r="I13" i="2"/>
  <c r="C14" i="8" s="1"/>
  <c r="I12" i="2"/>
  <c r="C13" i="8" s="1"/>
  <c r="I11" i="2"/>
  <c r="C12" i="8" s="1"/>
  <c r="I10" i="2"/>
  <c r="C11" i="8" s="1"/>
  <c r="I9" i="2"/>
  <c r="C10" i="8" s="1"/>
  <c r="I8" i="2"/>
  <c r="C9" i="8" s="1"/>
  <c r="I7" i="2"/>
  <c r="C8" i="8" s="1"/>
  <c r="I6" i="2"/>
  <c r="C7" i="8" s="1"/>
  <c r="I5" i="2"/>
  <c r="C6" i="8" s="1"/>
  <c r="D7" l="1"/>
  <c r="B7"/>
  <c r="D9"/>
  <c r="B9"/>
  <c r="D11"/>
  <c r="B11"/>
  <c r="D13"/>
  <c r="B13"/>
  <c r="B16"/>
  <c r="D16"/>
  <c r="D18"/>
  <c r="B18"/>
  <c r="B20"/>
  <c r="D20"/>
  <c r="D22"/>
  <c r="B22"/>
  <c r="B24"/>
  <c r="D24"/>
  <c r="D26"/>
  <c r="B26"/>
  <c r="B28"/>
  <c r="D28"/>
  <c r="D30"/>
  <c r="B30"/>
  <c r="B32"/>
  <c r="D32"/>
  <c r="D34"/>
  <c r="B34"/>
  <c r="B36"/>
  <c r="D36"/>
  <c r="D38"/>
  <c r="B38"/>
  <c r="B40"/>
  <c r="D40"/>
  <c r="D42"/>
  <c r="B42"/>
  <c r="B44"/>
  <c r="D44"/>
  <c r="D46"/>
  <c r="B46"/>
  <c r="B48"/>
  <c r="D48"/>
  <c r="D50"/>
  <c r="B50"/>
  <c r="B52"/>
  <c r="D52"/>
  <c r="D54"/>
  <c r="B54"/>
  <c r="D6"/>
  <c r="B6"/>
  <c r="B8"/>
  <c r="D8"/>
  <c r="D10"/>
  <c r="B10"/>
  <c r="D14"/>
  <c r="B14"/>
  <c r="D17"/>
  <c r="B17"/>
  <c r="D19"/>
  <c r="B19"/>
  <c r="D21"/>
  <c r="B21"/>
  <c r="D23"/>
  <c r="B23"/>
  <c r="D25"/>
  <c r="B25"/>
  <c r="D27"/>
  <c r="B27"/>
  <c r="D29"/>
  <c r="B29"/>
  <c r="D31"/>
  <c r="B31"/>
  <c r="D33"/>
  <c r="B33"/>
  <c r="D35"/>
  <c r="B35"/>
  <c r="D37"/>
  <c r="B37"/>
  <c r="D39"/>
  <c r="B39"/>
  <c r="D41"/>
  <c r="B41"/>
  <c r="D43"/>
  <c r="B43"/>
  <c r="D45"/>
  <c r="B45"/>
  <c r="D47"/>
  <c r="B47"/>
  <c r="D49"/>
  <c r="B49"/>
  <c r="D51"/>
  <c r="B51"/>
  <c r="D53"/>
  <c r="B53"/>
  <c r="E4" i="2"/>
  <c r="I4"/>
  <c r="C5" i="8" s="1"/>
  <c r="I14" i="2"/>
  <c r="C15" i="8" s="1"/>
  <c r="J5" i="2"/>
  <c r="J6"/>
  <c r="J7"/>
  <c r="J8"/>
  <c r="J9"/>
  <c r="J10"/>
  <c r="J12"/>
  <c r="J13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G49" i="8" l="1"/>
  <c r="E49"/>
  <c r="F49"/>
  <c r="G41"/>
  <c r="E41"/>
  <c r="F41"/>
  <c r="G33"/>
  <c r="E33"/>
  <c r="F33"/>
  <c r="G21"/>
  <c r="E21"/>
  <c r="F21"/>
  <c r="F54"/>
  <c r="G54"/>
  <c r="E54"/>
  <c r="F50"/>
  <c r="G50"/>
  <c r="E50"/>
  <c r="F46"/>
  <c r="G46"/>
  <c r="E46"/>
  <c r="F42"/>
  <c r="E42"/>
  <c r="G42"/>
  <c r="F38"/>
  <c r="G38"/>
  <c r="E38"/>
  <c r="F34"/>
  <c r="G34"/>
  <c r="E34"/>
  <c r="F30"/>
  <c r="G30"/>
  <c r="E30"/>
  <c r="F26"/>
  <c r="G26"/>
  <c r="E26"/>
  <c r="F22"/>
  <c r="G22"/>
  <c r="E22"/>
  <c r="F18"/>
  <c r="G18"/>
  <c r="E18"/>
  <c r="G13"/>
  <c r="E13"/>
  <c r="F13"/>
  <c r="G8"/>
  <c r="E8"/>
  <c r="F8"/>
  <c r="D15"/>
  <c r="B15"/>
  <c r="G45"/>
  <c r="E45"/>
  <c r="F45"/>
  <c r="G29"/>
  <c r="E29"/>
  <c r="F29"/>
  <c r="F11"/>
  <c r="G11"/>
  <c r="E11"/>
  <c r="F43"/>
  <c r="G43"/>
  <c r="E43"/>
  <c r="F27"/>
  <c r="G27"/>
  <c r="E27"/>
  <c r="F14"/>
  <c r="G14"/>
  <c r="E14"/>
  <c r="B12"/>
  <c r="D12"/>
  <c r="G53"/>
  <c r="E53"/>
  <c r="F53"/>
  <c r="G37"/>
  <c r="E37"/>
  <c r="F37"/>
  <c r="G25"/>
  <c r="E25"/>
  <c r="F25"/>
  <c r="G17"/>
  <c r="E17"/>
  <c r="F17"/>
  <c r="F7"/>
  <c r="G7"/>
  <c r="E7"/>
  <c r="F51"/>
  <c r="G51"/>
  <c r="E51"/>
  <c r="F47"/>
  <c r="G47"/>
  <c r="E47"/>
  <c r="F39"/>
  <c r="G39"/>
  <c r="E39"/>
  <c r="F35"/>
  <c r="G35"/>
  <c r="E35"/>
  <c r="F31"/>
  <c r="G31"/>
  <c r="E31"/>
  <c r="F23"/>
  <c r="G23"/>
  <c r="E23"/>
  <c r="F19"/>
  <c r="G19"/>
  <c r="E19"/>
  <c r="G9"/>
  <c r="E9"/>
  <c r="F9"/>
  <c r="G52"/>
  <c r="E52"/>
  <c r="F52"/>
  <c r="G48"/>
  <c r="E48"/>
  <c r="F48"/>
  <c r="G44"/>
  <c r="E44"/>
  <c r="F44"/>
  <c r="G40"/>
  <c r="E40"/>
  <c r="F40"/>
  <c r="G36"/>
  <c r="E36"/>
  <c r="F36"/>
  <c r="G32"/>
  <c r="E32"/>
  <c r="F32"/>
  <c r="G28"/>
  <c r="E28"/>
  <c r="F28"/>
  <c r="G24"/>
  <c r="E24"/>
  <c r="F24"/>
  <c r="G20"/>
  <c r="E20"/>
  <c r="F20"/>
  <c r="G16"/>
  <c r="E16"/>
  <c r="F16"/>
  <c r="F10"/>
  <c r="G10"/>
  <c r="E10"/>
  <c r="F6"/>
  <c r="G6"/>
  <c r="E6"/>
  <c r="J11" i="2"/>
  <c r="J14"/>
  <c r="G12" i="8" l="1"/>
  <c r="E12"/>
  <c r="F12"/>
  <c r="F15"/>
  <c r="G15"/>
  <c r="E15"/>
  <c r="D5"/>
  <c r="B5"/>
  <c r="J4" i="2"/>
  <c r="F5" i="8" l="1"/>
  <c r="G5"/>
  <c r="E5"/>
</calcChain>
</file>

<file path=xl/sharedStrings.xml><?xml version="1.0" encoding="utf-8"?>
<sst xmlns="http://schemas.openxmlformats.org/spreadsheetml/2006/main" count="1170" uniqueCount="310">
  <si>
    <t>R. VORIO AIGAIO</t>
  </si>
  <si>
    <t>Ag.Efstratios</t>
  </si>
  <si>
    <t>Lesvos</t>
  </si>
  <si>
    <t>Limnos</t>
  </si>
  <si>
    <t>Ikaria</t>
  </si>
  <si>
    <t>Fourni</t>
  </si>
  <si>
    <t>Samos</t>
  </si>
  <si>
    <t>Chios</t>
  </si>
  <si>
    <t>Oinoussai</t>
  </si>
  <si>
    <t>Psara</t>
  </si>
  <si>
    <t>R. NOTIO AIGAIO</t>
  </si>
  <si>
    <t>Agathonissi</t>
  </si>
  <si>
    <t>Astypalaia</t>
  </si>
  <si>
    <t>Kalymnos</t>
  </si>
  <si>
    <t>Karpathos</t>
  </si>
  <si>
    <t>Kasos</t>
  </si>
  <si>
    <t>Kos</t>
  </si>
  <si>
    <t>Lipsi</t>
  </si>
  <si>
    <t>Leros</t>
  </si>
  <si>
    <t>Megisti</t>
  </si>
  <si>
    <t>Nisyros</t>
  </si>
  <si>
    <t>Patmos</t>
  </si>
  <si>
    <t>Rodos</t>
  </si>
  <si>
    <t>Symi</t>
  </si>
  <si>
    <t>Tilos</t>
  </si>
  <si>
    <t>Chalki</t>
  </si>
  <si>
    <t>Amorgos</t>
  </si>
  <si>
    <t>Anafi</t>
  </si>
  <si>
    <t>Andros</t>
  </si>
  <si>
    <t>Antiparos</t>
  </si>
  <si>
    <t>Donoussa</t>
  </si>
  <si>
    <t>Iraklia</t>
  </si>
  <si>
    <t>Thira</t>
  </si>
  <si>
    <t>Thirasia</t>
  </si>
  <si>
    <t>Ios</t>
  </si>
  <si>
    <t>Kea</t>
  </si>
  <si>
    <t>Kimolos</t>
  </si>
  <si>
    <t>Koufonissi</t>
  </si>
  <si>
    <t>Kythnos</t>
  </si>
  <si>
    <t>Milos</t>
  </si>
  <si>
    <t>Mykonos</t>
  </si>
  <si>
    <t>Naxos</t>
  </si>
  <si>
    <t>Paros</t>
  </si>
  <si>
    <t>Serifos</t>
  </si>
  <si>
    <t>Schinoussa</t>
  </si>
  <si>
    <t>Sikinos</t>
  </si>
  <si>
    <t>Sifnos</t>
  </si>
  <si>
    <t>Syros</t>
  </si>
  <si>
    <t>Tinos</t>
  </si>
  <si>
    <t>Folegandros</t>
  </si>
  <si>
    <t>islands</t>
  </si>
  <si>
    <t>surface</t>
  </si>
  <si>
    <t>population</t>
  </si>
  <si>
    <t>total beds/pop</t>
  </si>
  <si>
    <t>total beds/surface</t>
  </si>
  <si>
    <t>total beds + pop/surface</t>
  </si>
  <si>
    <t>RVA</t>
  </si>
  <si>
    <t>RNA</t>
  </si>
  <si>
    <t>Islands</t>
  </si>
  <si>
    <t>arrivals hotels Gr</t>
  </si>
  <si>
    <t>nights spent hotels GR</t>
  </si>
  <si>
    <t>average stay GR</t>
  </si>
  <si>
    <t>arrivals hotels FOR</t>
  </si>
  <si>
    <t>nights spent FOR</t>
  </si>
  <si>
    <t>average stay FOR</t>
  </si>
  <si>
    <t>FOR/GR arrivals</t>
  </si>
  <si>
    <t>FOR/GR nights spent</t>
  </si>
  <si>
    <t>total arrivals</t>
  </si>
  <si>
    <t>arrivals hotels/arrivals island</t>
  </si>
  <si>
    <t>arrivals FOR hotels/arrivals charters</t>
  </si>
  <si>
    <t>total corrections</t>
  </si>
  <si>
    <t>arrivals hotels/corrected arrivals island</t>
  </si>
  <si>
    <t>code</t>
  </si>
  <si>
    <t>pop&gt;15</t>
  </si>
  <si>
    <t>pop 20-64</t>
  </si>
  <si>
    <t>pop 15-75</t>
  </si>
  <si>
    <t>%</t>
  </si>
  <si>
    <t>active pop</t>
  </si>
  <si>
    <t>employed</t>
  </si>
  <si>
    <t>% of employed</t>
  </si>
  <si>
    <t>unemployment</t>
  </si>
  <si>
    <t>% of unemployment to the actives</t>
  </si>
  <si>
    <t>non actives</t>
  </si>
  <si>
    <t>% of non actives to the total pop</t>
  </si>
  <si>
    <t>dependency rate (non-actives/actives)</t>
  </si>
  <si>
    <t>Pop &lt;15</t>
  </si>
  <si>
    <t>% actives to pop &gt;15</t>
  </si>
  <si>
    <t>% employed to pop 20-64</t>
  </si>
  <si>
    <t>% unemployed /pop 15-74</t>
  </si>
  <si>
    <t>primary sector</t>
  </si>
  <si>
    <t>mines and quarries</t>
  </si>
  <si>
    <t>manufacturing</t>
  </si>
  <si>
    <t>electricity</t>
  </si>
  <si>
    <t>water, sewage, waste treatment</t>
  </si>
  <si>
    <t>construction</t>
  </si>
  <si>
    <t>wholesale &amp; retail</t>
  </si>
  <si>
    <t>transport &amp; storage</t>
  </si>
  <si>
    <t>acommodation &amp; bars-restaurants</t>
  </si>
  <si>
    <t>information and communication</t>
  </si>
  <si>
    <t>financial and incurance activities</t>
  </si>
  <si>
    <t>real estate</t>
  </si>
  <si>
    <t>professional, scientific and technical activities</t>
  </si>
  <si>
    <t>administrative and support services</t>
  </si>
  <si>
    <t>public admninistration, defence &amp; social security</t>
  </si>
  <si>
    <t>education</t>
  </si>
  <si>
    <t>health and social services</t>
  </si>
  <si>
    <t>Ρ.arts, entertainment &amp; recreation</t>
  </si>
  <si>
    <t>other services</t>
  </si>
  <si>
    <t>activities of households as employers</t>
  </si>
  <si>
    <t>% primary sector</t>
  </si>
  <si>
    <t>secondary sector</t>
  </si>
  <si>
    <t>% secondary sector</t>
  </si>
  <si>
    <t>tertiary sector</t>
  </si>
  <si>
    <t>% tertiery sector</t>
  </si>
  <si>
    <t>public sector (+education and health)</t>
  </si>
  <si>
    <t>% public sector (+education and health)</t>
  </si>
  <si>
    <t>% of actives/pop</t>
  </si>
  <si>
    <t>pop &lt;15/pop</t>
  </si>
  <si>
    <t>total commercial accommodation - beds</t>
  </si>
  <si>
    <t>general total of accommodation beds</t>
  </si>
  <si>
    <t>commercial beds/pop</t>
  </si>
  <si>
    <t>non-commercial bedss/pop</t>
  </si>
  <si>
    <t>arrivals by airplaine international (charter) flight</t>
  </si>
  <si>
    <t xml:space="preserve">Table 1: The Islands of Vorio and Notio Aigaio Regions </t>
  </si>
  <si>
    <t>total employment</t>
  </si>
  <si>
    <t>Employees per economic branch (% of total employment)</t>
  </si>
  <si>
    <t>Table 2: Supply-Commercial and non-commercial accommodation and pressure indicators (2012)</t>
  </si>
  <si>
    <t>Employment per sector (people and %)</t>
  </si>
  <si>
    <t>no of employees decleared branch of activity</t>
  </si>
  <si>
    <t>RVA+RNA</t>
  </si>
  <si>
    <t>1951</t>
  </si>
  <si>
    <t>1961</t>
  </si>
  <si>
    <t>1971</t>
  </si>
  <si>
    <t>1981</t>
  </si>
  <si>
    <t>1991</t>
  </si>
  <si>
    <t>Table 4: Population evolution 1951-2011</t>
  </si>
  <si>
    <t>Table 5: Employment per sector and branch (2011)</t>
  </si>
  <si>
    <t>Table 6: Active and employed population, unemployment, age structure</t>
  </si>
  <si>
    <t>Gross value added by regional level (nuts II-III) and industries, year 2011*</t>
  </si>
  <si>
    <t>In million euro. At current prices</t>
  </si>
  <si>
    <t>Agriculture, forestry and fishing</t>
  </si>
  <si>
    <t>Mining and quarrying - Manufacturing - Electricity, gas, steam and air conditioning supply</t>
  </si>
  <si>
    <t>Water supply, sewerage, waste management and remediation activities</t>
  </si>
  <si>
    <t>Construction</t>
  </si>
  <si>
    <t>Wholesale and retail trade, repair of motor vehicles and motorcycles</t>
  </si>
  <si>
    <t>Transportation and storage</t>
  </si>
  <si>
    <t>Acommodation and food service activities</t>
  </si>
  <si>
    <t>Information and communication</t>
  </si>
  <si>
    <t>Financial and insurance services</t>
  </si>
  <si>
    <t>Real estate activities</t>
  </si>
  <si>
    <t>Professional, scientific and technical activities</t>
  </si>
  <si>
    <t>Administrative and support service activities</t>
  </si>
  <si>
    <t>Public administration and defence - Compulsory social securtiy</t>
  </si>
  <si>
    <t>Education</t>
  </si>
  <si>
    <t>Human health and social work activities</t>
  </si>
  <si>
    <t>Arts,entertainment and recreation-Other service activities-Activities of households as employers; undifferentiated goods and services producing activities of households for own use</t>
  </si>
  <si>
    <t>Total gross value added</t>
  </si>
  <si>
    <t>Nuts II and  Nuts III</t>
  </si>
  <si>
    <t>Ellada</t>
  </si>
  <si>
    <t>Ionia Nisia</t>
  </si>
  <si>
    <t>Voreio Aigaio</t>
  </si>
  <si>
    <t>Notio Aigaio</t>
  </si>
  <si>
    <t>Dodekanisos</t>
  </si>
  <si>
    <t>Kyklades</t>
  </si>
  <si>
    <t>Kriti</t>
  </si>
  <si>
    <t>Gross Added Value</t>
  </si>
  <si>
    <t>million euros current prices</t>
  </si>
  <si>
    <t xml:space="preserve">Regions and Departments </t>
  </si>
  <si>
    <t>Greece</t>
  </si>
  <si>
    <t>Region Ionia Nissia (RIN)</t>
  </si>
  <si>
    <t>Region Vorio Aigaio (RVA)</t>
  </si>
  <si>
    <t>Lesvos departement</t>
  </si>
  <si>
    <t>Samos Departement</t>
  </si>
  <si>
    <t>Chios Departement</t>
  </si>
  <si>
    <t>Region Notio Aigaio (RNA)</t>
  </si>
  <si>
    <t>Dodecanissa Departement</t>
  </si>
  <si>
    <t>Kyklades Departement</t>
  </si>
  <si>
    <t>Region Kriti</t>
  </si>
  <si>
    <t>2018 est</t>
  </si>
  <si>
    <t>population 2011</t>
  </si>
  <si>
    <t>hotel beds 2019</t>
  </si>
  <si>
    <t>hotel beds (2012)</t>
  </si>
  <si>
    <t>commercial beds /surface</t>
  </si>
  <si>
    <t>πηγή: ΙΝΣΕΤΕ 2020</t>
  </si>
  <si>
    <t>beds in non commercial accommodation 2011 (κλίνες σε κενές κατοικίες - παραθεριστικές)</t>
  </si>
  <si>
    <t>non commercial accommodation 2011 (κενές κατοικίες - παραθεριστικές)</t>
  </si>
  <si>
    <t>beds in complementary establishment (ΜΗ ΚΥΡΙΑ ΤΟΥΡΙΣΤΙΚΑ ΚΑΤΑΛΥΜΑΤΑ=ΕΝ.Δωμάτια-διαμερίσματα + ΤΕΚ)</t>
  </si>
  <si>
    <t>Table 2.2 : Supply-Commercial and non-commercial accommodation and pressure indicators (2012 &amp; 2019)</t>
  </si>
  <si>
    <t>Table 3: Demand-Arrivals, nights spent, seasonality (2012)</t>
  </si>
  <si>
    <t>Table 3.1 : Demand-Arrivals, nights spent, seasonality (2019)</t>
  </si>
  <si>
    <t>Table 3.2 : Demand-Arrivals, nights spent, seasonality indicators (2019)</t>
  </si>
  <si>
    <t>FOR/total arrivals</t>
  </si>
  <si>
    <t>*estimates by amalia</t>
  </si>
  <si>
    <t>**στις ακτοπλοϊκές αφίξεις εξερέθηκαν οι επιβάτες κρουαζιέρας</t>
  </si>
  <si>
    <t>*** N/D</t>
  </si>
  <si>
    <t>εποχικότητα αφίξεων  : δεδομένα μηνιαία διαθέσιμα μόνο για περιφέρειες</t>
  </si>
  <si>
    <t>Employees per economic branch (people)</t>
  </si>
  <si>
    <t>Table 5.2: Employmees of pivate sector / enterprises (2019)</t>
  </si>
  <si>
    <t>Months 2019</t>
  </si>
  <si>
    <t>year</t>
  </si>
  <si>
    <t>«ΕΡΓΑΝΗ» όσο και από τις χειρόγραφες υποβολές στις περιφερειακές υπηρεσίες του ΟΑΕΔ.</t>
  </si>
  <si>
    <t xml:space="preserve">Περιγραφή: Στον παρακάτω πίνακα καταγράφονται οι Αναγγελίες Πρόσληψης (Ε3), σύμφωνα με τις ροές μισθωτής απασχόλησης τόσο από το Πληροφοριακό Σύστημα </t>
  </si>
  <si>
    <t>Πηγή: "ΕΡΓΑΝΗ", ΟΑΕΔ</t>
  </si>
  <si>
    <t>Regional Unit of Andros</t>
  </si>
  <si>
    <r>
      <rPr>
        <b/>
        <sz val="9"/>
        <color theme="1"/>
        <rFont val="Calibri"/>
        <family val="2"/>
        <charset val="161"/>
        <scheme val="minor"/>
      </rPr>
      <t>Regional Unit of Thira</t>
    </r>
    <r>
      <rPr>
        <sz val="9"/>
        <color theme="1"/>
        <rFont val="Calibri"/>
        <family val="2"/>
        <charset val="161"/>
        <scheme val="minor"/>
      </rPr>
      <t xml:space="preserve"> (Thira,Thirasia,Ios,Anafi,Sikinos,Folegandros)</t>
    </r>
  </si>
  <si>
    <t>Regional Unit of Kea-Kythnos</t>
  </si>
  <si>
    <r>
      <rPr>
        <b/>
        <sz val="9"/>
        <color theme="1"/>
        <rFont val="Calibri"/>
        <family val="2"/>
        <charset val="161"/>
        <scheme val="minor"/>
      </rPr>
      <t>Regional Unitof Milos</t>
    </r>
    <r>
      <rPr>
        <sz val="9"/>
        <color theme="1"/>
        <rFont val="Calibri"/>
        <family val="2"/>
        <charset val="161"/>
        <scheme val="minor"/>
      </rPr>
      <t xml:space="preserve">  (Milos,Kimolos,Serifos,Sifnos)</t>
    </r>
  </si>
  <si>
    <t>Regional Unit of Mykonos</t>
  </si>
  <si>
    <r>
      <rPr>
        <b/>
        <sz val="9"/>
        <color theme="1"/>
        <rFont val="Calibri"/>
        <family val="2"/>
        <charset val="161"/>
        <scheme val="minor"/>
      </rPr>
      <t>Regional Unit of Naxos</t>
    </r>
    <r>
      <rPr>
        <sz val="9"/>
        <color theme="1"/>
        <rFont val="Calibri"/>
        <family val="2"/>
        <charset val="161"/>
        <scheme val="minor"/>
      </rPr>
      <t xml:space="preserve"> (Naxos,Amorgos,Donoussa,Iraklia,Koufonissi,Schinoussa)</t>
    </r>
  </si>
  <si>
    <r>
      <rPr>
        <b/>
        <sz val="9"/>
        <color theme="1"/>
        <rFont val="Calibri"/>
        <family val="2"/>
        <charset val="161"/>
        <scheme val="minor"/>
      </rPr>
      <t xml:space="preserve">Regional Unit of Paros </t>
    </r>
    <r>
      <rPr>
        <sz val="9"/>
        <color theme="1"/>
        <rFont val="Calibri"/>
        <family val="2"/>
        <charset val="161"/>
        <scheme val="minor"/>
      </rPr>
      <t>(Paros,Antiparos)</t>
    </r>
  </si>
  <si>
    <t>Regional Unit of Syros</t>
  </si>
  <si>
    <t>Regional Unit of Tinos</t>
  </si>
  <si>
    <r>
      <rPr>
        <b/>
        <sz val="9"/>
        <color theme="1"/>
        <rFont val="Calibri"/>
        <family val="2"/>
        <charset val="161"/>
        <scheme val="minor"/>
      </rPr>
      <t>Regional Unit of Rodos</t>
    </r>
    <r>
      <rPr>
        <sz val="9"/>
        <color theme="1"/>
        <rFont val="Calibri"/>
        <family val="2"/>
        <charset val="161"/>
        <scheme val="minor"/>
      </rPr>
      <t xml:space="preserve"> (Rodos,Megisti,Symi,Tilos,Chalki)</t>
    </r>
  </si>
  <si>
    <r>
      <rPr>
        <b/>
        <sz val="9"/>
        <color theme="1"/>
        <rFont val="Calibri"/>
        <family val="2"/>
        <charset val="161"/>
        <scheme val="minor"/>
      </rPr>
      <t>Regional Unit</t>
    </r>
    <r>
      <rPr>
        <sz val="9"/>
        <color theme="1"/>
        <rFont val="Calibri"/>
        <family val="2"/>
        <charset val="161"/>
        <scheme val="minor"/>
      </rPr>
      <t xml:space="preserve"> of </t>
    </r>
    <r>
      <rPr>
        <b/>
        <sz val="9"/>
        <color theme="1"/>
        <rFont val="Calibri"/>
        <family val="2"/>
        <charset val="161"/>
        <scheme val="minor"/>
      </rPr>
      <t>Kos</t>
    </r>
    <r>
      <rPr>
        <sz val="9"/>
        <color theme="1"/>
        <rFont val="Calibri"/>
        <family val="2"/>
        <charset val="161"/>
        <scheme val="minor"/>
      </rPr>
      <t xml:space="preserve"> (Kos,Nisyros)</t>
    </r>
  </si>
  <si>
    <r>
      <rPr>
        <b/>
        <sz val="9"/>
        <rFont val="Calibri"/>
        <family val="2"/>
        <charset val="161"/>
        <scheme val="minor"/>
      </rPr>
      <t>Regional Unit</t>
    </r>
    <r>
      <rPr>
        <sz val="9"/>
        <rFont val="Calibri"/>
        <family val="2"/>
        <charset val="161"/>
        <scheme val="minor"/>
      </rPr>
      <t xml:space="preserve"> of </t>
    </r>
    <r>
      <rPr>
        <b/>
        <sz val="9"/>
        <rFont val="Calibri"/>
        <family val="2"/>
        <charset val="161"/>
        <scheme val="minor"/>
      </rPr>
      <t>Kalymnos</t>
    </r>
    <r>
      <rPr>
        <sz val="9"/>
        <rFont val="Calibri"/>
        <family val="2"/>
        <charset val="161"/>
        <scheme val="minor"/>
      </rPr>
      <t xml:space="preserve"> (Kalymnos,Agathonissi,Astypalaia,Lipsi,Leros,Patmos</t>
    </r>
  </si>
  <si>
    <r>
      <rPr>
        <b/>
        <sz val="9"/>
        <color theme="1"/>
        <rFont val="Calibri"/>
        <family val="2"/>
        <charset val="161"/>
        <scheme val="minor"/>
      </rPr>
      <t>Regional Unit of Karpathos</t>
    </r>
    <r>
      <rPr>
        <sz val="9"/>
        <color theme="1"/>
        <rFont val="Calibri"/>
        <family val="2"/>
        <charset val="161"/>
        <scheme val="minor"/>
      </rPr>
      <t xml:space="preserve"> (Karpathos,Kasos)</t>
    </r>
  </si>
  <si>
    <t>Regional Unit of Lesvos</t>
  </si>
  <si>
    <r>
      <rPr>
        <b/>
        <sz val="9"/>
        <rFont val="Calibri"/>
        <family val="2"/>
        <charset val="161"/>
        <scheme val="minor"/>
      </rPr>
      <t>Regional Unit of Limnos</t>
    </r>
    <r>
      <rPr>
        <sz val="9"/>
        <rFont val="Calibri"/>
        <family val="2"/>
        <charset val="161"/>
        <scheme val="minor"/>
      </rPr>
      <t xml:space="preserve"> (Limnos, Ag.Efstratios)</t>
    </r>
  </si>
  <si>
    <r>
      <rPr>
        <b/>
        <sz val="9"/>
        <rFont val="Calibri"/>
        <family val="2"/>
        <charset val="161"/>
        <scheme val="minor"/>
      </rPr>
      <t>Regional Unitof  Ikaria</t>
    </r>
    <r>
      <rPr>
        <sz val="9"/>
        <rFont val="Calibri"/>
        <family val="2"/>
        <charset val="161"/>
        <scheme val="minor"/>
      </rPr>
      <t xml:space="preserve"> (Ikaria, Fourni)</t>
    </r>
  </si>
  <si>
    <t>Regional Unit of  Samos</t>
  </si>
  <si>
    <r>
      <rPr>
        <b/>
        <sz val="9"/>
        <rFont val="Calibri"/>
        <family val="2"/>
        <charset val="161"/>
        <scheme val="minor"/>
      </rPr>
      <t>Regional Unit of  Chios</t>
    </r>
    <r>
      <rPr>
        <sz val="9"/>
        <rFont val="Calibri"/>
        <family val="2"/>
        <charset val="161"/>
        <scheme val="minor"/>
      </rPr>
      <t xml:space="preserve"> (Chios, Oinoussai, Psara)</t>
    </r>
  </si>
  <si>
    <t>Total Employment</t>
  </si>
  <si>
    <t>Mining and quarrying, manufacturing, electricity, gas, steam, air conditioning and water supply, sewerage, waste management and remediation activities</t>
  </si>
  <si>
    <t>Financial and insurance activities</t>
  </si>
  <si>
    <t>Professional, scientific and technical activities, administrative and support service activities</t>
  </si>
  <si>
    <t>Public administration and defence, compulsory social security, education, human health and social work activities</t>
  </si>
  <si>
    <t>Arts, entertainment, recreation, other service activities, activities of households as employers, undifferentiated goods and services producing activities of households for own use, activities of extraterritorial organisations and bodies</t>
  </si>
  <si>
    <t>primary sector (Agriculture, forestry and fishing)</t>
  </si>
  <si>
    <r>
      <t xml:space="preserve">Wholesale and retail trade, repair of motor vehicles and motorcycles, transportation and storage, </t>
    </r>
    <r>
      <rPr>
        <sz val="8"/>
        <color rgb="FFFF0000"/>
        <rFont val="Arial"/>
        <family val="2"/>
        <charset val="161"/>
      </rPr>
      <t>accommodation and food service activities</t>
    </r>
  </si>
  <si>
    <r>
      <t>Wholesale and retail trade, repair of motor vehicles and motorcycles, transportation and storage,</t>
    </r>
    <r>
      <rPr>
        <b/>
        <u/>
        <sz val="8"/>
        <rFont val="Arial"/>
        <family val="2"/>
        <charset val="161"/>
      </rPr>
      <t xml:space="preserve"> accommodation and food service activities</t>
    </r>
  </si>
  <si>
    <t xml:space="preserve">acommodation </t>
  </si>
  <si>
    <t>food service activities</t>
  </si>
  <si>
    <t>Source: Labor Force Survey of the Greek Statistical Authority (ELSTAT)  - Processing INSETE Intelligence</t>
  </si>
  <si>
    <t>accommodation and food service activities</t>
  </si>
  <si>
    <t>other sectors</t>
  </si>
  <si>
    <t>Total Number of persons employed</t>
  </si>
  <si>
    <t>Regions and Departments</t>
  </si>
  <si>
    <r>
      <t>Wholesale and retail trade</t>
    </r>
    <r>
      <rPr>
        <sz val="9"/>
        <color rgb="FF0C0C0C"/>
        <rFont val="Arial"/>
        <family val="2"/>
        <charset val="161"/>
      </rPr>
      <t>,</t>
    </r>
    <r>
      <rPr>
        <sz val="9"/>
        <color rgb="FF181818"/>
        <rFont val="Arial"/>
        <family val="2"/>
        <charset val="161"/>
      </rPr>
      <t> </t>
    </r>
    <r>
      <rPr>
        <sz val="9"/>
        <color rgb="FF242424"/>
        <rFont val="Arial"/>
        <family val="2"/>
        <charset val="161"/>
      </rPr>
      <t>t</t>
    </r>
    <r>
      <rPr>
        <sz val="9"/>
        <color rgb="FF303030"/>
        <rFont val="Arial"/>
        <family val="2"/>
        <charset val="161"/>
      </rPr>
      <t>ra</t>
    </r>
    <r>
      <rPr>
        <sz val="9"/>
        <color rgb="FF3C3C3C"/>
        <rFont val="Arial"/>
        <family val="2"/>
        <charset val="161"/>
      </rPr>
      <t>nsportation and storage, accommodation and food service activities</t>
    </r>
  </si>
  <si>
    <t>Source: Labor Force Survey of the Greek Statistical Authority (ELSTAT) 2019</t>
  </si>
  <si>
    <t>Disposable Income</t>
  </si>
  <si>
    <t>Gross value added by regional level (nuts II-III) and industries, year 2017*</t>
  </si>
  <si>
    <t>Total</t>
  </si>
  <si>
    <t>Of which Manufacturing</t>
  </si>
  <si>
    <r>
      <t xml:space="preserve">Gross </t>
    </r>
    <r>
      <rPr>
        <b/>
        <sz val="8"/>
        <color rgb="FF0C0C0C"/>
        <rFont val="Arial"/>
        <family val="2"/>
        <charset val="161"/>
      </rPr>
      <t>Domest</t>
    </r>
    <r>
      <rPr>
        <b/>
        <sz val="8"/>
        <color rgb="FF000000"/>
        <rFont val="Arial"/>
        <family val="2"/>
        <charset val="161"/>
      </rPr>
      <t>ic Product (G</t>
    </r>
    <r>
      <rPr>
        <b/>
        <sz val="8"/>
        <color rgb="FF0C0C0C"/>
        <rFont val="Arial"/>
        <family val="2"/>
        <charset val="161"/>
      </rPr>
      <t>DP</t>
    </r>
    <r>
      <rPr>
        <b/>
        <sz val="8"/>
        <color rgb="FF181818"/>
        <rFont val="Arial"/>
        <family val="2"/>
        <charset val="161"/>
      </rPr>
      <t>) by region and department</t>
    </r>
  </si>
  <si>
    <t>Gross Domestic Product (GDP) by region and department</t>
  </si>
  <si>
    <r>
      <t xml:space="preserve">Gross Added Value </t>
    </r>
    <r>
      <rPr>
        <b/>
        <strike/>
        <sz val="9"/>
        <rFont val="Arial"/>
        <family val="2"/>
        <charset val="161"/>
      </rPr>
      <t>% of total</t>
    </r>
  </si>
  <si>
    <t>% Total gross value added</t>
  </si>
  <si>
    <t>Gross Added Value Index (Δείκτης σύγκρισης της ΑΠΑ των νησιωτικών Νομών με της χώρας)</t>
  </si>
  <si>
    <t xml:space="preserve">Greece Total </t>
  </si>
  <si>
    <t>Total of purely insular regions (Σύνολο αμιγώς νησιωτικών Νομών)</t>
  </si>
  <si>
    <r>
      <rPr>
        <b/>
        <sz val="8"/>
        <color rgb="FFFF0000"/>
        <rFont val="Arial"/>
        <family val="2"/>
        <charset val="161"/>
      </rPr>
      <t xml:space="preserve">% Gross Added Value Index  </t>
    </r>
    <r>
      <rPr>
        <sz val="8"/>
        <color rgb="FFFF0000"/>
        <rFont val="Arial"/>
        <family val="2"/>
      </rPr>
      <t>(%ΑΠΑ αμιγώς Νησιωτικών Νομών επί του συνόλου της χώρας κατά κλάδο)</t>
    </r>
  </si>
  <si>
    <t>Table 5: Employment per sector and branch (2017)</t>
  </si>
  <si>
    <t>Employees per economic branch (% of total)</t>
  </si>
  <si>
    <t>Employees per economic branch (thousand people )</t>
  </si>
  <si>
    <t>Labour force</t>
  </si>
  <si>
    <t>unemployed</t>
  </si>
  <si>
    <t>(thousand persons)</t>
  </si>
  <si>
    <t>thousand persons</t>
  </si>
  <si>
    <t xml:space="preserve">unemployment rate (%) </t>
  </si>
  <si>
    <t>Q4</t>
  </si>
  <si>
    <t>Q3</t>
  </si>
  <si>
    <t>Q2</t>
  </si>
  <si>
    <t>Q1</t>
  </si>
  <si>
    <t>% of labour force to the total pop</t>
  </si>
  <si>
    <t>Q1 2019</t>
  </si>
  <si>
    <t>Q2 2019</t>
  </si>
  <si>
    <t>Q3 2019</t>
  </si>
  <si>
    <t>Q4 2019</t>
  </si>
  <si>
    <t>% of unemployment to the  total labour force</t>
  </si>
  <si>
    <t>age stucture</t>
  </si>
  <si>
    <t>0-14</t>
  </si>
  <si>
    <t>15-19</t>
  </si>
  <si>
    <t>20-24</t>
  </si>
  <si>
    <t>25-29</t>
  </si>
  <si>
    <t>30-44</t>
  </si>
  <si>
    <t>45-64</t>
  </si>
  <si>
    <t>65+</t>
  </si>
  <si>
    <t xml:space="preserve">Source: Labour Force Survey of the Greek Statistical Authority (ELSTAT) </t>
  </si>
  <si>
    <t>Table 6.3: Employed population, ages and sex</t>
  </si>
  <si>
    <t>employed persons</t>
  </si>
  <si>
    <t>total numbe of men</t>
  </si>
  <si>
    <t>total numbe of women</t>
  </si>
  <si>
    <t>Difference between female and male employment rates, 20-64, 2019</t>
  </si>
  <si>
    <t>Percentage point difference (female-male)</t>
  </si>
  <si>
    <t xml:space="preserve">Difference between female and male employment , 20-64 </t>
  </si>
  <si>
    <t>2017*</t>
  </si>
  <si>
    <t>*Temporalily numbers</t>
  </si>
  <si>
    <t>camping posts</t>
  </si>
  <si>
    <t>non-commercial beds/pop</t>
  </si>
  <si>
    <t>Table 2.1: Supply-Commercial and non-commercial accommodation  (2019)</t>
  </si>
  <si>
    <t xml:space="preserve"> population 2019 - estimation</t>
  </si>
  <si>
    <t>*total number of posts estimation= numer of tents * 3 persons/tent</t>
  </si>
  <si>
    <t>2019 est</t>
  </si>
  <si>
    <t>beds in complementary establishment</t>
  </si>
  <si>
    <t>Non-commercial accommodation 2011 (beds in secondary houses)</t>
  </si>
  <si>
    <t>beds in non-commercial accommodation 2011 (beds in non-inhabited houses)</t>
  </si>
  <si>
    <r>
      <rPr>
        <b/>
        <sz val="10"/>
        <rFont val="Arial"/>
        <family val="2"/>
        <charset val="161"/>
      </rPr>
      <t>camping posts</t>
    </r>
    <r>
      <rPr>
        <b/>
        <sz val="10"/>
        <color rgb="FFC00000"/>
        <rFont val="Arial"/>
        <family val="2"/>
        <charset val="161"/>
      </rPr>
      <t xml:space="preserve"> *(estimation)</t>
    </r>
  </si>
  <si>
    <t>correction arrivals by ship</t>
  </si>
  <si>
    <t xml:space="preserve">correction arrivals by air </t>
  </si>
  <si>
    <t>arrivals FOR hotels/arrivals international flights</t>
  </si>
  <si>
    <t xml:space="preserve">arrivals hotels </t>
  </si>
  <si>
    <t xml:space="preserve">nights spent hotels </t>
  </si>
  <si>
    <t xml:space="preserve">average stay </t>
  </si>
  <si>
    <t>seasonality</t>
  </si>
  <si>
    <t>arrivals by boat</t>
  </si>
  <si>
    <t>arrivals by airplaine domestic flights</t>
  </si>
  <si>
    <t>Table 5.1: Employment of the acommodation and food service activities branch (2019)</t>
  </si>
  <si>
    <t>Table 6.1: Employed population, unemployment, age structure</t>
  </si>
  <si>
    <r>
      <t xml:space="preserve">% of unemployment to the </t>
    </r>
    <r>
      <rPr>
        <sz val="10"/>
        <color rgb="FF7030A0"/>
        <rFont val="Arial"/>
        <family val="2"/>
        <charset val="161"/>
      </rPr>
      <t xml:space="preserve"> total labour force</t>
    </r>
  </si>
  <si>
    <r>
      <t>Table 6.2: Employed population, unemployment</t>
    </r>
    <r>
      <rPr>
        <sz val="10"/>
        <rFont val="Arial"/>
        <family val="2"/>
        <charset val="161"/>
      </rPr>
      <t xml:space="preserve">  per quarter</t>
    </r>
  </si>
</sst>
</file>

<file path=xl/styles.xml><?xml version="1.0" encoding="utf-8"?>
<styleSheet xmlns="http://schemas.openxmlformats.org/spreadsheetml/2006/main">
  <numFmts count="7">
    <numFmt numFmtId="164" formatCode="#,##0.00000"/>
    <numFmt numFmtId="165" formatCode="_-* #,##0\ _Δ_ρ_χ_-;\-* #,##0\ _Δ_ρ_χ_-;_-* &quot;-&quot;\ _Δ_ρ_χ_-;_-@_-"/>
    <numFmt numFmtId="166" formatCode="#,##0.0"/>
    <numFmt numFmtId="167" formatCode="0.000000"/>
    <numFmt numFmtId="168" formatCode="0.00000"/>
    <numFmt numFmtId="169" formatCode="0.0"/>
    <numFmt numFmtId="170" formatCode="#,##0.0\ "/>
  </numFmts>
  <fonts count="66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10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10"/>
      <name val="Arial Greek"/>
      <family val="2"/>
      <charset val="161"/>
    </font>
    <font>
      <sz val="10"/>
      <name val="Arial"/>
      <family val="2"/>
    </font>
    <font>
      <sz val="10"/>
      <color indexed="8"/>
      <name val="Arial"/>
      <family val="2"/>
      <charset val="161"/>
    </font>
    <font>
      <b/>
      <sz val="10"/>
      <name val="Calibri"/>
      <family val="2"/>
      <charset val="161"/>
      <scheme val="minor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name val="Arial Greek"/>
      <charset val="161"/>
    </font>
    <font>
      <b/>
      <i/>
      <sz val="8"/>
      <name val="Arial"/>
      <family val="2"/>
    </font>
    <font>
      <sz val="11"/>
      <color rgb="FFFF0000"/>
      <name val="Calibri"/>
      <family val="2"/>
      <charset val="161"/>
      <scheme val="minor"/>
    </font>
    <font>
      <b/>
      <sz val="10"/>
      <name val="Arial"/>
      <family val="2"/>
      <charset val="161"/>
    </font>
    <font>
      <sz val="1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1"/>
      <color rgb="FF7030A0"/>
      <name val="Calibri"/>
      <family val="2"/>
      <charset val="161"/>
      <scheme val="minor"/>
    </font>
    <font>
      <sz val="9"/>
      <name val="Arial"/>
      <family val="2"/>
      <charset val="161"/>
    </font>
    <font>
      <b/>
      <sz val="9"/>
      <name val="Arial"/>
      <family val="2"/>
      <charset val="161"/>
    </font>
    <font>
      <b/>
      <i/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i/>
      <sz val="11"/>
      <color rgb="FF7030A0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b/>
      <sz val="9"/>
      <name val="Calibri"/>
      <family val="2"/>
      <charset val="161"/>
      <scheme val="minor"/>
    </font>
    <font>
      <b/>
      <i/>
      <sz val="9"/>
      <name val="Calibri"/>
      <family val="2"/>
      <charset val="161"/>
      <scheme val="minor"/>
    </font>
    <font>
      <b/>
      <sz val="8"/>
      <name val="Arial"/>
      <family val="2"/>
      <charset val="161"/>
    </font>
    <font>
      <sz val="8"/>
      <name val="Arial"/>
      <family val="2"/>
      <charset val="161"/>
    </font>
    <font>
      <sz val="8"/>
      <color rgb="FF800080"/>
      <name val="Arial"/>
      <family val="2"/>
    </font>
    <font>
      <sz val="8"/>
      <color rgb="FFFF0000"/>
      <name val="Arial"/>
      <family val="2"/>
      <charset val="161"/>
    </font>
    <font>
      <b/>
      <u/>
      <sz val="8"/>
      <name val="Arial"/>
      <family val="2"/>
      <charset val="161"/>
    </font>
    <font>
      <sz val="9"/>
      <color rgb="FF000000"/>
      <name val="Arial"/>
      <family val="2"/>
      <charset val="161"/>
    </font>
    <font>
      <sz val="9"/>
      <color rgb="FF0C0C0C"/>
      <name val="Arial"/>
      <family val="2"/>
      <charset val="161"/>
    </font>
    <font>
      <sz val="9"/>
      <color rgb="FF181818"/>
      <name val="Arial"/>
      <family val="2"/>
      <charset val="161"/>
    </font>
    <font>
      <sz val="9"/>
      <color rgb="FF242424"/>
      <name val="Arial"/>
      <family val="2"/>
      <charset val="161"/>
    </font>
    <font>
      <sz val="9"/>
      <color rgb="FF303030"/>
      <name val="Arial"/>
      <family val="2"/>
      <charset val="161"/>
    </font>
    <font>
      <sz val="9"/>
      <color rgb="FF3C3C3C"/>
      <name val="Arial"/>
      <family val="2"/>
      <charset val="161"/>
    </font>
    <font>
      <sz val="8"/>
      <name val="Arial Greek"/>
      <family val="2"/>
      <charset val="161"/>
    </font>
    <font>
      <b/>
      <sz val="8"/>
      <name val="Arial Greek"/>
      <charset val="161"/>
    </font>
    <font>
      <b/>
      <sz val="8"/>
      <color rgb="FF000000"/>
      <name val="Arial"/>
      <family val="2"/>
      <charset val="161"/>
    </font>
    <font>
      <b/>
      <sz val="8"/>
      <color rgb="FF0C0C0C"/>
      <name val="Arial"/>
      <family val="2"/>
      <charset val="161"/>
    </font>
    <font>
      <b/>
      <sz val="8"/>
      <color rgb="FF181818"/>
      <name val="Arial"/>
      <family val="2"/>
      <charset val="161"/>
    </font>
    <font>
      <b/>
      <sz val="7"/>
      <name val="Arial"/>
      <family val="2"/>
      <charset val="161"/>
    </font>
    <font>
      <sz val="8"/>
      <name val="Arial Greek"/>
      <charset val="161"/>
    </font>
    <font>
      <b/>
      <strike/>
      <sz val="9"/>
      <name val="Arial"/>
      <family val="2"/>
      <charset val="161"/>
    </font>
    <font>
      <sz val="8"/>
      <color rgb="FFFF0000"/>
      <name val="Arial"/>
      <family val="2"/>
    </font>
    <font>
      <b/>
      <sz val="8"/>
      <color rgb="FFFF0000"/>
      <name val="Arial"/>
      <family val="2"/>
      <charset val="161"/>
    </font>
    <font>
      <b/>
      <sz val="11"/>
      <name val="Calibri"/>
      <family val="2"/>
      <charset val="161"/>
      <scheme val="minor"/>
    </font>
    <font>
      <i/>
      <sz val="8"/>
      <name val="Arial"/>
      <family val="2"/>
      <charset val="161"/>
    </font>
    <font>
      <b/>
      <sz val="10"/>
      <color indexed="8"/>
      <name val="Arial"/>
      <family val="2"/>
      <charset val="161"/>
    </font>
    <font>
      <sz val="10"/>
      <color theme="1"/>
      <name val="Arial"/>
      <family val="2"/>
      <charset val="161"/>
    </font>
    <font>
      <b/>
      <sz val="10"/>
      <color theme="1"/>
      <name val="Arial"/>
      <family val="2"/>
      <charset val="161"/>
    </font>
    <font>
      <sz val="10"/>
      <color rgb="FFFF0000"/>
      <name val="Arial"/>
      <family val="2"/>
      <charset val="161"/>
    </font>
    <font>
      <b/>
      <sz val="10"/>
      <color rgb="FFC00000"/>
      <name val="Arial"/>
      <family val="2"/>
      <charset val="161"/>
    </font>
    <font>
      <i/>
      <sz val="10"/>
      <color theme="1"/>
      <name val="Arial"/>
      <family val="2"/>
      <charset val="161"/>
    </font>
    <font>
      <sz val="10"/>
      <color rgb="FF7030A0"/>
      <name val="Arial"/>
      <family val="2"/>
      <charset val="161"/>
    </font>
    <font>
      <sz val="10"/>
      <color rgb="FF800080"/>
      <name val="Arial"/>
      <family val="2"/>
      <charset val="161"/>
    </font>
    <font>
      <b/>
      <i/>
      <sz val="10"/>
      <name val="Arial"/>
      <family val="2"/>
      <charset val="161"/>
    </font>
    <font>
      <b/>
      <i/>
      <sz val="10"/>
      <color theme="1"/>
      <name val="Arial"/>
      <family val="2"/>
      <charset val="161"/>
    </font>
    <font>
      <b/>
      <sz val="10"/>
      <color rgb="FFFF0000"/>
      <name val="Arial"/>
      <family val="2"/>
      <charset val="161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15" fillId="0" borderId="0"/>
    <xf numFmtId="9" fontId="25" fillId="0" borderId="0" applyFont="0" applyFill="0" applyBorder="0" applyAlignment="0" applyProtection="0"/>
    <xf numFmtId="0" fontId="2" fillId="0" borderId="0"/>
    <xf numFmtId="0" fontId="2" fillId="0" borderId="0"/>
    <xf numFmtId="0" fontId="15" fillId="0" borderId="0" applyBorder="0"/>
  </cellStyleXfs>
  <cellXfs count="339">
    <xf numFmtId="0" fontId="0" fillId="0" borderId="0" xfId="0"/>
    <xf numFmtId="0" fontId="3" fillId="0" borderId="1" xfId="1" applyFont="1" applyBorder="1"/>
    <xf numFmtId="0" fontId="0" fillId="0" borderId="0" xfId="0" applyFill="1"/>
    <xf numFmtId="2" fontId="0" fillId="0" borderId="0" xfId="0" applyNumberFormat="1"/>
    <xf numFmtId="0" fontId="0" fillId="0" borderId="1" xfId="0" applyBorder="1"/>
    <xf numFmtId="0" fontId="7" fillId="0" borderId="1" xfId="0" applyFont="1" applyFill="1" applyBorder="1" applyAlignment="1">
      <alignment horizontal="right" wrapText="1"/>
    </xf>
    <xf numFmtId="2" fontId="0" fillId="0" borderId="1" xfId="0" applyNumberFormat="1" applyBorder="1"/>
    <xf numFmtId="0" fontId="0" fillId="0" borderId="0" xfId="0" applyBorder="1"/>
    <xf numFmtId="0" fontId="0" fillId="0" borderId="0" xfId="0" applyAlignment="1"/>
    <xf numFmtId="0" fontId="8" fillId="0" borderId="1" xfId="1" applyFont="1" applyBorder="1"/>
    <xf numFmtId="0" fontId="1" fillId="0" borderId="0" xfId="0" applyFont="1"/>
    <xf numFmtId="0" fontId="1" fillId="0" borderId="0" xfId="0" applyFont="1" applyAlignment="1">
      <alignment wrapText="1"/>
    </xf>
    <xf numFmtId="0" fontId="7" fillId="2" borderId="1" xfId="0" applyFont="1" applyFill="1" applyBorder="1" applyAlignment="1">
      <alignment horizontal="center"/>
    </xf>
    <xf numFmtId="0" fontId="0" fillId="3" borderId="1" xfId="0" applyFill="1" applyBorder="1"/>
    <xf numFmtId="0" fontId="9" fillId="0" borderId="0" xfId="3" applyFont="1" applyFill="1" applyBorder="1" applyAlignment="1">
      <alignment horizontal="left"/>
    </xf>
    <xf numFmtId="0" fontId="9" fillId="0" borderId="0" xfId="3" applyFont="1" applyFill="1" applyBorder="1" applyAlignment="1">
      <alignment horizontal="center"/>
    </xf>
    <xf numFmtId="0" fontId="10" fillId="0" borderId="0" xfId="3" applyFont="1" applyFill="1" applyBorder="1" applyAlignment="1">
      <alignment horizontal="right" vertical="center"/>
    </xf>
    <xf numFmtId="0" fontId="11" fillId="0" borderId="0" xfId="3" applyFont="1" applyFill="1" applyBorder="1"/>
    <xf numFmtId="0" fontId="11" fillId="0" borderId="0" xfId="3" applyFont="1" applyFill="1"/>
    <xf numFmtId="0" fontId="12" fillId="0" borderId="0" xfId="4" applyFont="1" applyFill="1" applyBorder="1" applyAlignment="1">
      <alignment horizontal="left"/>
    </xf>
    <xf numFmtId="0" fontId="13" fillId="0" borderId="0" xfId="3" applyFont="1" applyFill="1" applyBorder="1" applyAlignment="1">
      <alignment horizontal="left"/>
    </xf>
    <xf numFmtId="0" fontId="13" fillId="0" borderId="0" xfId="3" applyFont="1" applyFill="1" applyBorder="1" applyAlignment="1">
      <alignment horizontal="center"/>
    </xf>
    <xf numFmtId="0" fontId="12" fillId="0" borderId="0" xfId="3" applyFont="1" applyFill="1" applyBorder="1" applyAlignment="1">
      <alignment horizontal="right" vertical="center"/>
    </xf>
    <xf numFmtId="0" fontId="12" fillId="0" borderId="0" xfId="4" applyFont="1" applyFill="1" applyBorder="1" applyAlignment="1">
      <alignment horizontal="right" vertical="center"/>
    </xf>
    <xf numFmtId="0" fontId="12" fillId="0" borderId="3" xfId="3" applyFont="1" applyFill="1" applyBorder="1" applyAlignment="1">
      <alignment horizontal="left"/>
    </xf>
    <xf numFmtId="164" fontId="6" fillId="0" borderId="0" xfId="3" applyNumberFormat="1" applyFont="1" applyFill="1" applyAlignment="1">
      <alignment horizontal="center"/>
    </xf>
    <xf numFmtId="0" fontId="12" fillId="0" borderId="3" xfId="3" applyFont="1" applyFill="1" applyBorder="1" applyAlignment="1">
      <alignment horizontal="right" vertical="center"/>
    </xf>
    <xf numFmtId="0" fontId="14" fillId="0" borderId="1" xfId="3" applyFont="1" applyFill="1" applyBorder="1" applyAlignment="1">
      <alignment horizontal="center" vertical="center" wrapText="1"/>
    </xf>
    <xf numFmtId="0" fontId="11" fillId="0" borderId="5" xfId="3" applyFont="1" applyFill="1" applyBorder="1"/>
    <xf numFmtId="0" fontId="11" fillId="0" borderId="6" xfId="3" applyFont="1" applyFill="1" applyBorder="1" applyAlignment="1">
      <alignment horizontal="left" vertical="center" wrapText="1" shrinkToFit="1"/>
    </xf>
    <xf numFmtId="0" fontId="14" fillId="0" borderId="7" xfId="3" applyFont="1" applyFill="1" applyBorder="1" applyAlignment="1">
      <alignment horizontal="center" vertical="center" wrapText="1"/>
    </xf>
    <xf numFmtId="165" fontId="11" fillId="0" borderId="8" xfId="3" applyNumberFormat="1" applyFont="1" applyFill="1" applyBorder="1" applyAlignment="1">
      <alignment horizontal="center" vertical="center" wrapText="1"/>
    </xf>
    <xf numFmtId="0" fontId="11" fillId="0" borderId="3" xfId="3" applyFont="1" applyFill="1" applyBorder="1" applyAlignment="1">
      <alignment horizontal="right" vertical="center"/>
    </xf>
    <xf numFmtId="0" fontId="10" fillId="0" borderId="4" xfId="3" applyFont="1" applyFill="1" applyBorder="1" applyAlignment="1">
      <alignment horizontal="left" vertical="center"/>
    </xf>
    <xf numFmtId="166" fontId="10" fillId="0" borderId="9" xfId="3" applyNumberFormat="1" applyFont="1" applyFill="1" applyBorder="1" applyAlignment="1">
      <alignment horizontal="right" vertical="center"/>
    </xf>
    <xf numFmtId="166" fontId="10" fillId="0" borderId="9" xfId="3" applyNumberFormat="1" applyFont="1" applyFill="1" applyBorder="1" applyAlignment="1">
      <alignment horizontal="center" vertical="center"/>
    </xf>
    <xf numFmtId="3" fontId="10" fillId="0" borderId="0" xfId="3" applyNumberFormat="1" applyFont="1" applyFill="1" applyBorder="1" applyAlignment="1">
      <alignment horizontal="right" vertical="center"/>
    </xf>
    <xf numFmtId="0" fontId="10" fillId="0" borderId="0" xfId="5" applyFont="1" applyFill="1" applyBorder="1"/>
    <xf numFmtId="166" fontId="11" fillId="0" borderId="0" xfId="3" applyNumberFormat="1" applyFont="1" applyFill="1" applyBorder="1"/>
    <xf numFmtId="166" fontId="10" fillId="0" borderId="2" xfId="3" applyNumberFormat="1" applyFont="1" applyFill="1" applyBorder="1" applyAlignment="1">
      <alignment horizontal="right" vertical="center"/>
    </xf>
    <xf numFmtId="166" fontId="10" fillId="0" borderId="2" xfId="3" applyNumberFormat="1" applyFont="1" applyFill="1" applyBorder="1" applyAlignment="1">
      <alignment horizontal="center" vertical="center"/>
    </xf>
    <xf numFmtId="0" fontId="16" fillId="0" borderId="4" xfId="3" applyFont="1" applyFill="1" applyBorder="1" applyAlignment="1">
      <alignment horizontal="left" vertical="center"/>
    </xf>
    <xf numFmtId="0" fontId="16" fillId="0" borderId="0" xfId="5" applyFont="1" applyFill="1" applyBorder="1" applyAlignment="1">
      <alignment wrapText="1"/>
    </xf>
    <xf numFmtId="166" fontId="11" fillId="0" borderId="2" xfId="3" applyNumberFormat="1" applyFont="1" applyFill="1" applyBorder="1" applyAlignment="1">
      <alignment horizontal="right" vertical="center"/>
    </xf>
    <xf numFmtId="166" fontId="11" fillId="0" borderId="2" xfId="3" applyNumberFormat="1" applyFont="1" applyFill="1" applyBorder="1" applyAlignment="1">
      <alignment horizontal="center" vertical="center"/>
    </xf>
    <xf numFmtId="0" fontId="11" fillId="0" borderId="0" xfId="5" applyFont="1" applyFill="1" applyBorder="1" applyAlignment="1">
      <alignment wrapText="1"/>
    </xf>
    <xf numFmtId="0" fontId="11" fillId="0" borderId="4" xfId="3" applyFont="1" applyFill="1" applyBorder="1" applyAlignment="1">
      <alignment vertical="center"/>
    </xf>
    <xf numFmtId="0" fontId="11" fillId="0" borderId="0" xfId="3" applyFont="1" applyFill="1" applyAlignment="1">
      <alignment horizontal="left" vertical="center"/>
    </xf>
    <xf numFmtId="0" fontId="6" fillId="0" borderId="0" xfId="3" applyFont="1" applyFill="1" applyAlignment="1">
      <alignment horizontal="center"/>
    </xf>
    <xf numFmtId="3" fontId="11" fillId="0" borderId="0" xfId="3" applyNumberFormat="1" applyFont="1" applyFill="1" applyBorder="1" applyAlignment="1">
      <alignment horizontal="center"/>
    </xf>
    <xf numFmtId="167" fontId="11" fillId="0" borderId="0" xfId="3" applyNumberFormat="1" applyFont="1" applyFill="1" applyAlignment="1">
      <alignment horizontal="center"/>
    </xf>
    <xf numFmtId="0" fontId="11" fillId="0" borderId="0" xfId="3" applyFont="1" applyFill="1" applyAlignment="1">
      <alignment horizontal="left"/>
    </xf>
    <xf numFmtId="4" fontId="11" fillId="0" borderId="0" xfId="3" applyNumberFormat="1" applyFont="1" applyFill="1" applyAlignment="1">
      <alignment horizontal="center"/>
    </xf>
    <xf numFmtId="168" fontId="11" fillId="0" borderId="0" xfId="3" applyNumberFormat="1" applyFont="1" applyFill="1" applyAlignment="1">
      <alignment horizontal="center"/>
    </xf>
    <xf numFmtId="1" fontId="0" fillId="0" borderId="0" xfId="0" applyNumberFormat="1" applyBorder="1"/>
    <xf numFmtId="0" fontId="18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15" xfId="0" applyBorder="1"/>
    <xf numFmtId="0" fontId="0" fillId="0" borderId="15" xfId="0" applyNumberFormat="1" applyBorder="1"/>
    <xf numFmtId="0" fontId="7" fillId="0" borderId="15" xfId="0" applyFont="1" applyFill="1" applyBorder="1" applyAlignment="1">
      <alignment horizontal="right" wrapText="1"/>
    </xf>
    <xf numFmtId="0" fontId="1" fillId="0" borderId="1" xfId="0" applyFont="1" applyBorder="1"/>
    <xf numFmtId="0" fontId="18" fillId="8" borderId="0" xfId="3" applyFont="1" applyFill="1" applyAlignment="1">
      <alignment horizontal="left" vertical="center"/>
    </xf>
    <xf numFmtId="3" fontId="0" fillId="11" borderId="1" xfId="0" applyNumberFormat="1" applyFill="1" applyBorder="1"/>
    <xf numFmtId="0" fontId="8" fillId="11" borderId="1" xfId="1" applyFont="1" applyFill="1" applyBorder="1"/>
    <xf numFmtId="0" fontId="1" fillId="9" borderId="1" xfId="0" applyFont="1" applyFill="1" applyBorder="1"/>
    <xf numFmtId="3" fontId="1" fillId="9" borderId="1" xfId="0" applyNumberFormat="1" applyFont="1" applyFill="1" applyBorder="1"/>
    <xf numFmtId="0" fontId="1" fillId="11" borderId="1" xfId="0" applyFont="1" applyFill="1" applyBorder="1" applyAlignment="1">
      <alignment horizontal="center" vertical="center" wrapText="1"/>
    </xf>
    <xf numFmtId="166" fontId="22" fillId="0" borderId="5" xfId="0" applyNumberFormat="1" applyFont="1" applyBorder="1"/>
    <xf numFmtId="0" fontId="21" fillId="0" borderId="0" xfId="0" applyFont="1"/>
    <xf numFmtId="2" fontId="0" fillId="0" borderId="0" xfId="0" applyNumberFormat="1" applyBorder="1"/>
    <xf numFmtId="0" fontId="26" fillId="0" borderId="0" xfId="0" applyFont="1"/>
    <xf numFmtId="0" fontId="27" fillId="0" borderId="1" xfId="1" applyFont="1" applyBorder="1" applyAlignment="1">
      <alignment wrapText="1"/>
    </xf>
    <xf numFmtId="0" fontId="29" fillId="0" borderId="1" xfId="0" applyFont="1" applyBorder="1"/>
    <xf numFmtId="0" fontId="30" fillId="0" borderId="1" xfId="1" applyFont="1" applyBorder="1"/>
    <xf numFmtId="3" fontId="28" fillId="0" borderId="1" xfId="0" applyNumberFormat="1" applyFont="1" applyBorder="1"/>
    <xf numFmtId="0" fontId="27" fillId="0" borderId="1" xfId="0" applyFont="1" applyFill="1" applyBorder="1" applyAlignment="1">
      <alignment horizontal="left" wrapText="1"/>
    </xf>
    <xf numFmtId="3" fontId="29" fillId="12" borderId="1" xfId="0" applyNumberFormat="1" applyFont="1" applyFill="1" applyBorder="1"/>
    <xf numFmtId="0" fontId="28" fillId="0" borderId="1" xfId="0" applyFont="1" applyBorder="1" applyAlignment="1">
      <alignment wrapText="1"/>
    </xf>
    <xf numFmtId="0" fontId="28" fillId="0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3" fontId="30" fillId="11" borderId="4" xfId="3" applyNumberFormat="1" applyFont="1" applyFill="1" applyBorder="1" applyAlignment="1">
      <alignment vertical="center"/>
    </xf>
    <xf numFmtId="0" fontId="31" fillId="12" borderId="1" xfId="3" applyFont="1" applyFill="1" applyBorder="1" applyAlignment="1">
      <alignment horizontal="left" vertical="center" wrapText="1"/>
    </xf>
    <xf numFmtId="0" fontId="31" fillId="11" borderId="1" xfId="3" applyFont="1" applyFill="1" applyBorder="1" applyAlignment="1">
      <alignment vertical="center"/>
    </xf>
    <xf numFmtId="0" fontId="30" fillId="0" borderId="1" xfId="0" applyFont="1" applyFill="1" applyBorder="1" applyAlignment="1">
      <alignment horizontal="left" wrapText="1"/>
    </xf>
    <xf numFmtId="0" fontId="3" fillId="0" borderId="0" xfId="1" applyFont="1" applyFill="1" applyBorder="1"/>
    <xf numFmtId="0" fontId="11" fillId="0" borderId="15" xfId="0" applyFont="1" applyBorder="1" applyAlignment="1">
      <alignment horizontal="center" vertical="center" wrapText="1"/>
    </xf>
    <xf numFmtId="166" fontId="32" fillId="0" borderId="23" xfId="0" applyNumberFormat="1" applyFont="1" applyBorder="1" applyAlignment="1">
      <alignment vertical="center"/>
    </xf>
    <xf numFmtId="166" fontId="33" fillId="0" borderId="14" xfId="0" applyNumberFormat="1" applyFont="1" applyBorder="1" applyAlignment="1">
      <alignment vertical="center"/>
    </xf>
    <xf numFmtId="166" fontId="32" fillId="0" borderId="23" xfId="7" applyNumberFormat="1" applyFont="1" applyBorder="1" applyAlignment="1">
      <alignment vertical="center" shrinkToFit="1"/>
    </xf>
    <xf numFmtId="166" fontId="33" fillId="0" borderId="14" xfId="7" applyNumberFormat="1" applyFont="1" applyBorder="1" applyAlignment="1">
      <alignment vertical="center" shrinkToFit="1"/>
    </xf>
    <xf numFmtId="0" fontId="11" fillId="0" borderId="20" xfId="0" applyFont="1" applyBorder="1" applyAlignment="1">
      <alignment vertical="center" wrapText="1"/>
    </xf>
    <xf numFmtId="0" fontId="34" fillId="0" borderId="15" xfId="3" applyFont="1" applyFill="1" applyBorder="1" applyAlignment="1">
      <alignment horizontal="center" vertical="center" wrapText="1"/>
    </xf>
    <xf numFmtId="2" fontId="17" fillId="0" borderId="1" xfId="0" applyNumberFormat="1" applyFont="1" applyBorder="1"/>
    <xf numFmtId="2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left" vertical="center"/>
    </xf>
    <xf numFmtId="3" fontId="0" fillId="0" borderId="1" xfId="0" applyNumberFormat="1" applyBorder="1"/>
    <xf numFmtId="0" fontId="16" fillId="0" borderId="1" xfId="3" applyFont="1" applyFill="1" applyBorder="1" applyAlignment="1">
      <alignment horizontal="left" vertical="center"/>
    </xf>
    <xf numFmtId="2" fontId="0" fillId="0" borderId="0" xfId="0" applyNumberFormat="1" applyFill="1"/>
    <xf numFmtId="0" fontId="19" fillId="0" borderId="0" xfId="0" applyFont="1"/>
    <xf numFmtId="0" fontId="17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0" fillId="13" borderId="0" xfId="0" applyFill="1" applyAlignment="1">
      <alignment horizontal="center" vertical="center" wrapText="1"/>
    </xf>
    <xf numFmtId="0" fontId="0" fillId="13" borderId="1" xfId="0" applyFill="1" applyBorder="1" applyAlignment="1">
      <alignment horizontal="center" vertical="center" wrapText="1"/>
    </xf>
    <xf numFmtId="2" fontId="0" fillId="13" borderId="1" xfId="0" applyNumberFormat="1" applyFill="1" applyBorder="1" applyAlignment="1">
      <alignment horizontal="center" vertical="center" wrapText="1"/>
    </xf>
    <xf numFmtId="0" fontId="1" fillId="13" borderId="0" xfId="0" applyFont="1" applyFill="1" applyAlignment="1">
      <alignment wrapText="1"/>
    </xf>
    <xf numFmtId="2" fontId="1" fillId="13" borderId="0" xfId="0" applyNumberFormat="1" applyFont="1" applyFill="1"/>
    <xf numFmtId="0" fontId="1" fillId="13" borderId="1" xfId="0" applyFont="1" applyFill="1" applyBorder="1" applyAlignment="1">
      <alignment wrapText="1"/>
    </xf>
    <xf numFmtId="1" fontId="1" fillId="13" borderId="1" xfId="0" applyNumberFormat="1" applyFont="1" applyFill="1" applyBorder="1" applyAlignment="1">
      <alignment wrapText="1"/>
    </xf>
    <xf numFmtId="2" fontId="1" fillId="13" borderId="1" xfId="0" applyNumberFormat="1" applyFont="1" applyFill="1" applyBorder="1" applyAlignment="1">
      <alignment wrapText="1"/>
    </xf>
    <xf numFmtId="0" fontId="3" fillId="13" borderId="1" xfId="1" applyFont="1" applyFill="1" applyBorder="1"/>
    <xf numFmtId="0" fontId="0" fillId="13" borderId="0" xfId="0" applyFill="1"/>
    <xf numFmtId="0" fontId="0" fillId="13" borderId="0" xfId="0" applyNumberFormat="1" applyFill="1"/>
    <xf numFmtId="2" fontId="0" fillId="13" borderId="0" xfId="0" applyNumberFormat="1" applyFill="1"/>
    <xf numFmtId="0" fontId="0" fillId="13" borderId="1" xfId="0" applyFill="1" applyBorder="1"/>
    <xf numFmtId="2" fontId="0" fillId="13" borderId="1" xfId="0" applyNumberFormat="1" applyFill="1" applyBorder="1"/>
    <xf numFmtId="1" fontId="0" fillId="13" borderId="1" xfId="0" applyNumberFormat="1" applyFill="1" applyBorder="1"/>
    <xf numFmtId="0" fontId="8" fillId="13" borderId="1" xfId="1" applyFont="1" applyFill="1" applyBorder="1"/>
    <xf numFmtId="0" fontId="1" fillId="13" borderId="0" xfId="0" applyFont="1" applyFill="1"/>
    <xf numFmtId="1" fontId="1" fillId="13" borderId="1" xfId="0" applyNumberFormat="1" applyFont="1" applyFill="1" applyBorder="1"/>
    <xf numFmtId="2" fontId="1" fillId="13" borderId="1" xfId="0" applyNumberFormat="1" applyFont="1" applyFill="1" applyBorder="1"/>
    <xf numFmtId="0" fontId="3" fillId="13" borderId="2" xfId="1" applyFont="1" applyFill="1" applyBorder="1"/>
    <xf numFmtId="2" fontId="27" fillId="0" borderId="1" xfId="0" applyNumberFormat="1" applyFont="1" applyBorder="1" applyAlignment="1">
      <alignment wrapText="1"/>
    </xf>
    <xf numFmtId="0" fontId="37" fillId="14" borderId="1" xfId="0" applyFont="1" applyFill="1" applyBorder="1" applyAlignment="1">
      <alignment wrapText="1"/>
    </xf>
    <xf numFmtId="0" fontId="1" fillId="11" borderId="22" xfId="0" applyFont="1" applyFill="1" applyBorder="1" applyAlignment="1">
      <alignment vertical="center" wrapText="1"/>
    </xf>
    <xf numFmtId="4" fontId="0" fillId="0" borderId="1" xfId="0" applyNumberFormat="1" applyFill="1" applyBorder="1"/>
    <xf numFmtId="0" fontId="20" fillId="0" borderId="1" xfId="0" applyFont="1" applyBorder="1" applyAlignment="1">
      <alignment horizontal="center" vertical="center"/>
    </xf>
    <xf numFmtId="9" fontId="0" fillId="0" borderId="1" xfId="6" applyFont="1" applyBorder="1" applyAlignment="1">
      <alignment horizontal="center" vertical="center"/>
    </xf>
    <xf numFmtId="0" fontId="32" fillId="0" borderId="1" xfId="8" applyFont="1" applyBorder="1" applyAlignment="1">
      <alignment horizontal="center" vertical="center" wrapText="1"/>
    </xf>
    <xf numFmtId="3" fontId="10" fillId="15" borderId="1" xfId="0" applyNumberFormat="1" applyFont="1" applyFill="1" applyBorder="1" applyAlignment="1">
      <alignment horizontal="right"/>
    </xf>
    <xf numFmtId="167" fontId="11" fillId="0" borderId="1" xfId="3" applyNumberFormat="1" applyFont="1" applyFill="1" applyBorder="1" applyAlignment="1">
      <alignment horizontal="center"/>
    </xf>
    <xf numFmtId="3" fontId="33" fillId="0" borderId="1" xfId="0" applyNumberFormat="1" applyFont="1" applyBorder="1" applyAlignment="1">
      <alignment horizontal="right"/>
    </xf>
    <xf numFmtId="0" fontId="11" fillId="0" borderId="1" xfId="3" applyFont="1" applyFill="1" applyBorder="1" applyAlignment="1">
      <alignment vertical="center"/>
    </xf>
    <xf numFmtId="0" fontId="6" fillId="0" borderId="1" xfId="3" applyFont="1" applyFill="1" applyBorder="1" applyAlignment="1">
      <alignment horizontal="center"/>
    </xf>
    <xf numFmtId="3" fontId="10" fillId="0" borderId="1" xfId="9" applyNumberFormat="1" applyFont="1" applyFill="1" applyBorder="1" applyAlignment="1">
      <alignment vertical="center"/>
    </xf>
    <xf numFmtId="3" fontId="43" fillId="0" borderId="1" xfId="0" applyNumberFormat="1" applyFont="1" applyFill="1" applyBorder="1" applyAlignment="1">
      <alignment vertical="center"/>
    </xf>
    <xf numFmtId="3" fontId="44" fillId="0" borderId="1" xfId="0" applyNumberFormat="1" applyFont="1" applyFill="1" applyBorder="1" applyAlignment="1">
      <alignment vertical="center"/>
    </xf>
    <xf numFmtId="0" fontId="45" fillId="0" borderId="1" xfId="0" applyFont="1" applyBorder="1" applyAlignment="1">
      <alignment wrapText="1"/>
    </xf>
    <xf numFmtId="0" fontId="32" fillId="0" borderId="1" xfId="3" applyFont="1" applyFill="1" applyBorder="1" applyAlignment="1">
      <alignment horizontal="left" vertical="center" wrapText="1" shrinkToFit="1"/>
    </xf>
    <xf numFmtId="0" fontId="23" fillId="8" borderId="0" xfId="3" applyNumberFormat="1" applyFont="1" applyFill="1" applyAlignment="1">
      <alignment horizontal="center"/>
    </xf>
    <xf numFmtId="167" fontId="11" fillId="0" borderId="1" xfId="3" applyNumberFormat="1" applyFont="1" applyFill="1" applyBorder="1" applyAlignment="1">
      <alignment horizontal="center" wrapText="1"/>
    </xf>
    <xf numFmtId="3" fontId="49" fillId="0" borderId="2" xfId="0" applyNumberFormat="1" applyFont="1" applyFill="1" applyBorder="1" applyAlignment="1">
      <alignment vertical="center"/>
    </xf>
    <xf numFmtId="3" fontId="49" fillId="0" borderId="1" xfId="0" applyNumberFormat="1" applyFont="1" applyFill="1" applyBorder="1" applyAlignment="1">
      <alignment vertical="center"/>
    </xf>
    <xf numFmtId="0" fontId="23" fillId="0" borderId="0" xfId="3" applyFont="1" applyFill="1"/>
    <xf numFmtId="0" fontId="16" fillId="0" borderId="0" xfId="3" applyFont="1" applyFill="1" applyBorder="1" applyAlignment="1">
      <alignment horizontal="left" vertical="center"/>
    </xf>
    <xf numFmtId="3" fontId="49" fillId="0" borderId="0" xfId="0" applyNumberFormat="1" applyFont="1" applyFill="1" applyBorder="1" applyAlignment="1">
      <alignment vertical="center"/>
    </xf>
    <xf numFmtId="3" fontId="44" fillId="0" borderId="0" xfId="0" applyNumberFormat="1" applyFont="1" applyFill="1" applyBorder="1" applyAlignment="1">
      <alignment vertical="center"/>
    </xf>
    <xf numFmtId="167" fontId="11" fillId="0" borderId="15" xfId="3" applyNumberFormat="1" applyFont="1" applyFill="1" applyBorder="1" applyAlignment="1"/>
    <xf numFmtId="4" fontId="49" fillId="0" borderId="0" xfId="0" applyNumberFormat="1" applyFont="1" applyFill="1" applyBorder="1" applyAlignment="1">
      <alignment vertical="center"/>
    </xf>
    <xf numFmtId="4" fontId="44" fillId="0" borderId="0" xfId="0" applyNumberFormat="1" applyFont="1" applyFill="1" applyBorder="1" applyAlignment="1">
      <alignment vertical="center"/>
    </xf>
    <xf numFmtId="4" fontId="49" fillId="0" borderId="1" xfId="0" applyNumberFormat="1" applyFont="1" applyFill="1" applyBorder="1" applyAlignment="1">
      <alignment vertical="center"/>
    </xf>
    <xf numFmtId="4" fontId="44" fillId="0" borderId="1" xfId="0" applyNumberFormat="1" applyFont="1" applyFill="1" applyBorder="1" applyAlignment="1">
      <alignment vertical="center"/>
    </xf>
    <xf numFmtId="0" fontId="51" fillId="0" borderId="1" xfId="3" applyFont="1" applyFill="1" applyBorder="1" applyAlignment="1">
      <alignment vertical="center" wrapText="1"/>
    </xf>
    <xf numFmtId="4" fontId="49" fillId="0" borderId="9" xfId="0" applyNumberFormat="1" applyFont="1" applyFill="1" applyBorder="1" applyAlignment="1">
      <alignment vertical="center"/>
    </xf>
    <xf numFmtId="0" fontId="16" fillId="0" borderId="9" xfId="3" applyFont="1" applyFill="1" applyBorder="1" applyAlignment="1">
      <alignment horizontal="left" vertical="center"/>
    </xf>
    <xf numFmtId="4" fontId="44" fillId="0" borderId="9" xfId="0" applyNumberFormat="1" applyFont="1" applyFill="1" applyBorder="1" applyAlignment="1">
      <alignment vertical="center"/>
    </xf>
    <xf numFmtId="0" fontId="6" fillId="0" borderId="0" xfId="3" applyFont="1" applyFill="1" applyBorder="1" applyAlignment="1">
      <alignment horizontal="center"/>
    </xf>
    <xf numFmtId="167" fontId="11" fillId="0" borderId="0" xfId="3" applyNumberFormat="1" applyFont="1" applyFill="1" applyBorder="1" applyAlignment="1">
      <alignment horizontal="center"/>
    </xf>
    <xf numFmtId="0" fontId="35" fillId="0" borderId="1" xfId="3" applyFont="1" applyFill="1" applyBorder="1" applyAlignment="1">
      <alignment vertical="center" wrapText="1"/>
    </xf>
    <xf numFmtId="167" fontId="11" fillId="0" borderId="1" xfId="3" applyNumberFormat="1" applyFont="1" applyFill="1" applyBorder="1" applyAlignment="1"/>
    <xf numFmtId="0" fontId="0" fillId="0" borderId="1" xfId="0" applyBorder="1" applyAlignment="1">
      <alignment vertical="center" wrapText="1"/>
    </xf>
    <xf numFmtId="0" fontId="54" fillId="0" borderId="0" xfId="3" applyFont="1" applyFill="1" applyBorder="1" applyAlignment="1">
      <alignment horizontal="left" vertical="center"/>
    </xf>
    <xf numFmtId="3" fontId="2" fillId="0" borderId="1" xfId="0" applyNumberFormat="1" applyFont="1" applyFill="1" applyBorder="1" applyAlignment="1">
      <alignment horizontal="right"/>
    </xf>
    <xf numFmtId="0" fontId="55" fillId="0" borderId="1" xfId="0" applyFont="1" applyFill="1" applyBorder="1" applyAlignment="1">
      <alignment horizontal="right" wrapText="1"/>
    </xf>
    <xf numFmtId="0" fontId="55" fillId="0" borderId="15" xfId="0" applyFont="1" applyFill="1" applyBorder="1" applyAlignment="1">
      <alignment horizontal="right" wrapText="1"/>
    </xf>
    <xf numFmtId="0" fontId="7" fillId="8" borderId="2" xfId="0" applyFont="1" applyFill="1" applyBorder="1" applyAlignment="1">
      <alignment horizontal="center"/>
    </xf>
    <xf numFmtId="0" fontId="56" fillId="0" borderId="0" xfId="0" applyFont="1"/>
    <xf numFmtId="2" fontId="57" fillId="0" borderId="0" xfId="0" applyNumberFormat="1" applyFont="1"/>
    <xf numFmtId="0" fontId="57" fillId="0" borderId="1" xfId="0" applyFont="1" applyBorder="1" applyAlignment="1">
      <alignment wrapText="1"/>
    </xf>
    <xf numFmtId="0" fontId="57" fillId="0" borderId="10" xfId="0" applyFont="1" applyBorder="1" applyAlignment="1">
      <alignment vertical="center" wrapText="1"/>
    </xf>
    <xf numFmtId="2" fontId="57" fillId="0" borderId="10" xfId="0" applyNumberFormat="1" applyFont="1" applyBorder="1" applyAlignment="1">
      <alignment vertical="center" wrapText="1"/>
    </xf>
    <xf numFmtId="0" fontId="57" fillId="0" borderId="1" xfId="0" applyFont="1" applyBorder="1" applyAlignment="1">
      <alignment vertical="center" wrapText="1"/>
    </xf>
    <xf numFmtId="2" fontId="57" fillId="0" borderId="1" xfId="0" applyNumberFormat="1" applyFont="1" applyBorder="1" applyAlignment="1">
      <alignment vertical="center" wrapText="1"/>
    </xf>
    <xf numFmtId="0" fontId="56" fillId="0" borderId="0" xfId="0" applyFont="1" applyAlignment="1">
      <alignment wrapText="1"/>
    </xf>
    <xf numFmtId="0" fontId="56" fillId="0" borderId="1" xfId="0" applyFont="1" applyBorder="1" applyAlignment="1">
      <alignment wrapText="1"/>
    </xf>
    <xf numFmtId="2" fontId="56" fillId="0" borderId="1" xfId="0" applyNumberFormat="1" applyFont="1" applyBorder="1" applyAlignment="1">
      <alignment wrapText="1"/>
    </xf>
    <xf numFmtId="4" fontId="56" fillId="0" borderId="1" xfId="0" applyNumberFormat="1" applyFont="1" applyBorder="1" applyAlignment="1">
      <alignment wrapText="1"/>
    </xf>
    <xf numFmtId="2" fontId="56" fillId="0" borderId="1" xfId="0" applyNumberFormat="1" applyFont="1" applyBorder="1"/>
    <xf numFmtId="0" fontId="56" fillId="0" borderId="0" xfId="0" applyNumberFormat="1" applyFont="1"/>
    <xf numFmtId="0" fontId="56" fillId="0" borderId="1" xfId="0" applyFont="1" applyFill="1" applyBorder="1" applyAlignment="1">
      <alignment wrapText="1"/>
    </xf>
    <xf numFmtId="0" fontId="2" fillId="0" borderId="1" xfId="1" applyFont="1" applyBorder="1"/>
    <xf numFmtId="3" fontId="7" fillId="0" borderId="1" xfId="0" applyNumberFormat="1" applyFont="1" applyFill="1" applyBorder="1" applyAlignment="1">
      <alignment horizontal="right" wrapText="1"/>
    </xf>
    <xf numFmtId="3" fontId="56" fillId="0" borderId="1" xfId="0" applyNumberFormat="1" applyFont="1" applyBorder="1"/>
    <xf numFmtId="4" fontId="7" fillId="0" borderId="1" xfId="0" applyNumberFormat="1" applyFont="1" applyFill="1" applyBorder="1" applyAlignment="1">
      <alignment horizontal="right" wrapText="1"/>
    </xf>
    <xf numFmtId="0" fontId="18" fillId="0" borderId="1" xfId="1" applyFont="1" applyBorder="1"/>
    <xf numFmtId="0" fontId="57" fillId="0" borderId="0" xfId="0" applyFont="1"/>
    <xf numFmtId="0" fontId="56" fillId="0" borderId="0" xfId="0" applyFont="1" applyFill="1"/>
    <xf numFmtId="2" fontId="56" fillId="0" borderId="0" xfId="0" applyNumberFormat="1" applyFont="1"/>
    <xf numFmtId="0" fontId="57" fillId="0" borderId="1" xfId="0" applyFont="1" applyBorder="1" applyAlignment="1">
      <alignment horizontal="center" vertical="center" wrapText="1"/>
    </xf>
    <xf numFmtId="0" fontId="57" fillId="0" borderId="1" xfId="0" applyFont="1" applyFill="1" applyBorder="1" applyAlignment="1">
      <alignment horizontal="center" vertical="center" wrapText="1"/>
    </xf>
    <xf numFmtId="0" fontId="57" fillId="0" borderId="1" xfId="0" applyFont="1" applyBorder="1"/>
    <xf numFmtId="2" fontId="57" fillId="0" borderId="1" xfId="0" applyNumberFormat="1" applyFont="1" applyBorder="1"/>
    <xf numFmtId="0" fontId="7" fillId="0" borderId="1" xfId="2" applyFont="1" applyFill="1" applyBorder="1" applyAlignment="1">
      <alignment horizontal="right" vertical="center"/>
    </xf>
    <xf numFmtId="0" fontId="56" fillId="0" borderId="1" xfId="0" applyFont="1" applyBorder="1"/>
    <xf numFmtId="3" fontId="7" fillId="0" borderId="1" xfId="2" applyNumberFormat="1" applyFont="1" applyFill="1" applyBorder="1" applyAlignment="1">
      <alignment horizontal="right" vertical="center"/>
    </xf>
    <xf numFmtId="1" fontId="56" fillId="0" borderId="0" xfId="0" applyNumberFormat="1" applyFont="1" applyBorder="1"/>
    <xf numFmtId="0" fontId="58" fillId="0" borderId="1" xfId="0" applyFont="1" applyFill="1" applyBorder="1" applyAlignment="1">
      <alignment wrapText="1"/>
    </xf>
    <xf numFmtId="0" fontId="59" fillId="0" borderId="1" xfId="0" applyFont="1" applyBorder="1" applyAlignment="1">
      <alignment wrapText="1"/>
    </xf>
    <xf numFmtId="0" fontId="58" fillId="0" borderId="1" xfId="0" applyFont="1" applyBorder="1" applyAlignment="1">
      <alignment wrapText="1"/>
    </xf>
    <xf numFmtId="0" fontId="58" fillId="0" borderId="0" xfId="0" applyFont="1"/>
    <xf numFmtId="0" fontId="56" fillId="8" borderId="0" xfId="0" applyFont="1" applyFill="1"/>
    <xf numFmtId="3" fontId="2" fillId="0" borderId="1" xfId="0" applyNumberFormat="1" applyFont="1" applyBorder="1" applyAlignment="1">
      <alignment horizontal="right"/>
    </xf>
    <xf numFmtId="166" fontId="2" fillId="0" borderId="1" xfId="0" applyNumberFormat="1" applyFont="1" applyBorder="1" applyAlignment="1"/>
    <xf numFmtId="2" fontId="2" fillId="0" borderId="1" xfId="0" applyNumberFormat="1" applyFont="1" applyBorder="1" applyAlignment="1"/>
    <xf numFmtId="4" fontId="2" fillId="0" borderId="1" xfId="0" applyNumberFormat="1" applyFont="1" applyBorder="1" applyAlignment="1"/>
    <xf numFmtId="3" fontId="18" fillId="0" borderId="1" xfId="0" applyNumberFormat="1" applyFont="1" applyBorder="1"/>
    <xf numFmtId="166" fontId="18" fillId="0" borderId="1" xfId="0" applyNumberFormat="1" applyFont="1" applyBorder="1" applyAlignment="1">
      <alignment horizontal="left" indent="6"/>
    </xf>
    <xf numFmtId="4" fontId="18" fillId="8" borderId="1" xfId="0" applyNumberFormat="1" applyFont="1" applyFill="1" applyBorder="1"/>
    <xf numFmtId="2" fontId="18" fillId="0" borderId="1" xfId="0" applyNumberFormat="1" applyFont="1" applyBorder="1"/>
    <xf numFmtId="4" fontId="18" fillId="0" borderId="1" xfId="0" applyNumberFormat="1" applyFont="1" applyFill="1" applyBorder="1"/>
    <xf numFmtId="3" fontId="18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18" fillId="0" borderId="1" xfId="0" applyNumberFormat="1" applyFont="1" applyBorder="1" applyAlignment="1">
      <alignment horizontal="right"/>
    </xf>
    <xf numFmtId="3" fontId="58" fillId="10" borderId="1" xfId="0" applyNumberFormat="1" applyFont="1" applyFill="1" applyBorder="1"/>
    <xf numFmtId="2" fontId="58" fillId="10" borderId="1" xfId="0" applyNumberFormat="1" applyFont="1" applyFill="1" applyBorder="1"/>
    <xf numFmtId="3" fontId="2" fillId="0" borderId="1" xfId="0" applyNumberFormat="1" applyFont="1" applyBorder="1"/>
    <xf numFmtId="166" fontId="2" fillId="0" borderId="1" xfId="0" applyNumberFormat="1" applyFont="1" applyBorder="1" applyAlignment="1">
      <alignment horizontal="left" indent="6"/>
    </xf>
    <xf numFmtId="2" fontId="2" fillId="0" borderId="1" xfId="0" applyNumberFormat="1" applyFont="1" applyBorder="1"/>
    <xf numFmtId="4" fontId="2" fillId="0" borderId="1" xfId="0" applyNumberFormat="1" applyFont="1" applyFill="1" applyBorder="1"/>
    <xf numFmtId="3" fontId="58" fillId="0" borderId="1" xfId="0" applyNumberFormat="1" applyFont="1" applyBorder="1"/>
    <xf numFmtId="3" fontId="18" fillId="0" borderId="1" xfId="0" applyNumberFormat="1" applyFont="1" applyFill="1" applyBorder="1"/>
    <xf numFmtId="3" fontId="58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3" fontId="58" fillId="0" borderId="1" xfId="0" applyNumberFormat="1" applyFont="1" applyFill="1" applyBorder="1"/>
    <xf numFmtId="0" fontId="58" fillId="0" borderId="0" xfId="1" applyFont="1" applyFill="1" applyBorder="1"/>
    <xf numFmtId="3" fontId="2" fillId="0" borderId="0" xfId="0" applyNumberFormat="1" applyFont="1" applyBorder="1"/>
    <xf numFmtId="0" fontId="18" fillId="0" borderId="0" xfId="1" applyFont="1" applyFill="1" applyBorder="1"/>
    <xf numFmtId="3" fontId="2" fillId="10" borderId="0" xfId="0" applyNumberFormat="1" applyFont="1" applyFill="1" applyBorder="1"/>
    <xf numFmtId="0" fontId="57" fillId="0" borderId="1" xfId="0" applyFont="1" applyFill="1" applyBorder="1"/>
    <xf numFmtId="0" fontId="57" fillId="0" borderId="1" xfId="0" applyNumberFormat="1" applyFont="1" applyFill="1" applyBorder="1"/>
    <xf numFmtId="2" fontId="57" fillId="0" borderId="1" xfId="0" applyNumberFormat="1" applyFont="1" applyFill="1" applyBorder="1"/>
    <xf numFmtId="2" fontId="57" fillId="0" borderId="0" xfId="0" applyNumberFormat="1" applyFont="1" applyFill="1"/>
    <xf numFmtId="0" fontId="56" fillId="5" borderId="1" xfId="0" applyFont="1" applyFill="1" applyBorder="1" applyAlignment="1">
      <alignment wrapText="1"/>
    </xf>
    <xf numFmtId="0" fontId="56" fillId="5" borderId="1" xfId="0" applyNumberFormat="1" applyFont="1" applyFill="1" applyBorder="1" applyAlignment="1">
      <alignment wrapText="1"/>
    </xf>
    <xf numFmtId="2" fontId="56" fillId="5" borderId="1" xfId="0" applyNumberFormat="1" applyFont="1" applyFill="1" applyBorder="1" applyAlignment="1">
      <alignment wrapText="1"/>
    </xf>
    <xf numFmtId="0" fontId="56" fillId="7" borderId="1" xfId="0" applyNumberFormat="1" applyFont="1" applyFill="1" applyBorder="1" applyAlignment="1">
      <alignment wrapText="1"/>
    </xf>
    <xf numFmtId="2" fontId="56" fillId="7" borderId="1" xfId="0" applyNumberFormat="1" applyFont="1" applyFill="1" applyBorder="1" applyAlignment="1">
      <alignment wrapText="1"/>
    </xf>
    <xf numFmtId="0" fontId="56" fillId="4" borderId="1" xfId="0" applyFont="1" applyFill="1" applyBorder="1" applyAlignment="1">
      <alignment wrapText="1"/>
    </xf>
    <xf numFmtId="2" fontId="56" fillId="4" borderId="1" xfId="0" applyNumberFormat="1" applyFont="1" applyFill="1" applyBorder="1" applyAlignment="1">
      <alignment wrapText="1"/>
    </xf>
    <xf numFmtId="0" fontId="56" fillId="6" borderId="1" xfId="0" applyFont="1" applyFill="1" applyBorder="1" applyAlignment="1">
      <alignment wrapText="1"/>
    </xf>
    <xf numFmtId="3" fontId="57" fillId="0" borderId="1" xfId="0" applyNumberFormat="1" applyFont="1" applyBorder="1"/>
    <xf numFmtId="2" fontId="57" fillId="8" borderId="1" xfId="0" applyNumberFormat="1" applyFont="1" applyFill="1" applyBorder="1"/>
    <xf numFmtId="0" fontId="57" fillId="5" borderId="1" xfId="0" applyFont="1" applyFill="1" applyBorder="1" applyAlignment="1">
      <alignment horizontal="left" vertical="center" wrapText="1"/>
    </xf>
    <xf numFmtId="0" fontId="0" fillId="5" borderId="1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21" fillId="0" borderId="1" xfId="0" applyFont="1" applyFill="1" applyBorder="1" applyAlignment="1">
      <alignment vertical="center" wrapText="1"/>
    </xf>
    <xf numFmtId="0" fontId="53" fillId="0" borderId="1" xfId="0" applyFont="1" applyFill="1" applyBorder="1"/>
    <xf numFmtId="0" fontId="57" fillId="0" borderId="1" xfId="0" applyFont="1" applyFill="1" applyBorder="1" applyAlignment="1">
      <alignment horizontal="left"/>
    </xf>
    <xf numFmtId="0" fontId="56" fillId="16" borderId="1" xfId="0" applyFont="1" applyFill="1" applyBorder="1" applyAlignment="1">
      <alignment horizontal="center" vertical="center" wrapText="1"/>
    </xf>
    <xf numFmtId="0" fontId="18" fillId="9" borderId="11" xfId="0" applyFont="1" applyFill="1" applyBorder="1" applyAlignment="1">
      <alignment horizontal="center"/>
    </xf>
    <xf numFmtId="0" fontId="18" fillId="9" borderId="12" xfId="0" applyFont="1" applyFill="1" applyBorder="1" applyAlignment="1">
      <alignment horizontal="center"/>
    </xf>
    <xf numFmtId="0" fontId="18" fillId="9" borderId="13" xfId="0" applyFont="1" applyFill="1" applyBorder="1" applyAlignment="1">
      <alignment horizontal="center"/>
    </xf>
    <xf numFmtId="0" fontId="57" fillId="6" borderId="16" xfId="0" applyFont="1" applyFill="1" applyBorder="1" applyAlignment="1">
      <alignment horizontal="center"/>
    </xf>
    <xf numFmtId="0" fontId="57" fillId="6" borderId="17" xfId="0" applyFont="1" applyFill="1" applyBorder="1" applyAlignment="1">
      <alignment horizontal="center"/>
    </xf>
    <xf numFmtId="0" fontId="57" fillId="6" borderId="1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4" fillId="0" borderId="9" xfId="3" applyFont="1" applyFill="1" applyBorder="1" applyAlignment="1">
      <alignment horizontal="center" vertical="center" wrapText="1"/>
    </xf>
    <xf numFmtId="0" fontId="14" fillId="0" borderId="10" xfId="3" applyFont="1" applyFill="1" applyBorder="1" applyAlignment="1">
      <alignment horizontal="center" vertical="center" wrapText="1"/>
    </xf>
    <xf numFmtId="0" fontId="48" fillId="0" borderId="1" xfId="3" applyFont="1" applyFill="1" applyBorder="1" applyAlignment="1">
      <alignment horizontal="center" vertical="center" wrapText="1"/>
    </xf>
    <xf numFmtId="0" fontId="14" fillId="0" borderId="1" xfId="3" applyFont="1" applyFill="1" applyBorder="1" applyAlignment="1">
      <alignment horizontal="center" vertical="center" wrapText="1"/>
    </xf>
    <xf numFmtId="0" fontId="32" fillId="0" borderId="1" xfId="3" applyFont="1" applyFill="1" applyBorder="1" applyAlignment="1">
      <alignment horizontal="center" vertical="center" wrapText="1" shrinkToFit="1"/>
    </xf>
    <xf numFmtId="167" fontId="11" fillId="0" borderId="1" xfId="3" applyNumberFormat="1" applyFont="1" applyFill="1" applyBorder="1" applyAlignment="1">
      <alignment horizontal="center" vertical="center" wrapText="1"/>
    </xf>
    <xf numFmtId="0" fontId="16" fillId="0" borderId="1" xfId="3" applyFont="1" applyFill="1" applyBorder="1" applyAlignment="1">
      <alignment horizontal="center" vertical="center"/>
    </xf>
    <xf numFmtId="4" fontId="18" fillId="0" borderId="1" xfId="0" applyNumberFormat="1" applyFont="1" applyFill="1" applyBorder="1" applyAlignment="1"/>
    <xf numFmtId="0" fontId="11" fillId="0" borderId="2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53" fillId="0" borderId="0" xfId="0" applyFont="1" applyFill="1"/>
    <xf numFmtId="0" fontId="2" fillId="0" borderId="0" xfId="1" applyFont="1" applyBorder="1"/>
    <xf numFmtId="0" fontId="18" fillId="0" borderId="20" xfId="0" applyFont="1" applyBorder="1" applyAlignment="1">
      <alignment vertical="center"/>
    </xf>
    <xf numFmtId="170" fontId="18" fillId="0" borderId="1" xfId="0" applyNumberFormat="1" applyFont="1" applyBorder="1" applyAlignment="1">
      <alignment vertical="center"/>
    </xf>
    <xf numFmtId="170" fontId="2" fillId="0" borderId="1" xfId="0" applyNumberFormat="1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19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170" fontId="18" fillId="0" borderId="20" xfId="0" applyNumberFormat="1" applyFont="1" applyBorder="1" applyAlignment="1">
      <alignment vertical="center"/>
    </xf>
    <xf numFmtId="170" fontId="18" fillId="0" borderId="21" xfId="0" applyNumberFormat="1" applyFont="1" applyBorder="1" applyAlignment="1">
      <alignment vertical="center"/>
    </xf>
    <xf numFmtId="170" fontId="18" fillId="0" borderId="22" xfId="0" applyNumberFormat="1" applyFont="1" applyBorder="1" applyAlignment="1">
      <alignment vertical="center"/>
    </xf>
    <xf numFmtId="170" fontId="18" fillId="9" borderId="20" xfId="0" applyNumberFormat="1" applyFont="1" applyFill="1" applyBorder="1" applyAlignment="1">
      <alignment vertical="center"/>
    </xf>
    <xf numFmtId="170" fontId="18" fillId="9" borderId="21" xfId="0" applyNumberFormat="1" applyFont="1" applyFill="1" applyBorder="1" applyAlignment="1">
      <alignment vertical="center"/>
    </xf>
    <xf numFmtId="170" fontId="18" fillId="9" borderId="22" xfId="0" applyNumberFormat="1" applyFont="1" applyFill="1" applyBorder="1" applyAlignment="1">
      <alignment vertical="center"/>
    </xf>
    <xf numFmtId="170" fontId="58" fillId="0" borderId="1" xfId="0" applyNumberFormat="1" applyFont="1" applyBorder="1" applyAlignment="1">
      <alignment vertical="center"/>
    </xf>
    <xf numFmtId="170" fontId="2" fillId="0" borderId="5" xfId="0" applyNumberFormat="1" applyFont="1" applyBorder="1" applyAlignment="1">
      <alignment vertical="center"/>
    </xf>
    <xf numFmtId="170" fontId="2" fillId="0" borderId="0" xfId="0" applyNumberFormat="1" applyFont="1" applyBorder="1" applyAlignment="1">
      <alignment vertical="center"/>
    </xf>
    <xf numFmtId="170" fontId="2" fillId="0" borderId="4" xfId="0" applyNumberFormat="1" applyFont="1" applyBorder="1" applyAlignment="1">
      <alignment vertical="center"/>
    </xf>
    <xf numFmtId="170" fontId="2" fillId="9" borderId="5" xfId="0" applyNumberFormat="1" applyFont="1" applyFill="1" applyBorder="1" applyAlignment="1">
      <alignment vertical="center"/>
    </xf>
    <xf numFmtId="170" fontId="2" fillId="9" borderId="0" xfId="0" applyNumberFormat="1" applyFont="1" applyFill="1" applyBorder="1" applyAlignment="1">
      <alignment vertical="center"/>
    </xf>
    <xf numFmtId="170" fontId="2" fillId="9" borderId="4" xfId="0" applyNumberFormat="1" applyFont="1" applyFill="1" applyBorder="1" applyAlignment="1">
      <alignment vertical="center"/>
    </xf>
    <xf numFmtId="170" fontId="2" fillId="0" borderId="8" xfId="0" applyNumberFormat="1" applyFont="1" applyBorder="1" applyAlignment="1">
      <alignment vertical="center"/>
    </xf>
    <xf numFmtId="170" fontId="2" fillId="0" borderId="3" xfId="0" applyNumberFormat="1" applyFont="1" applyBorder="1" applyAlignment="1">
      <alignment vertical="center"/>
    </xf>
    <xf numFmtId="170" fontId="2" fillId="0" borderId="6" xfId="0" applyNumberFormat="1" applyFont="1" applyBorder="1" applyAlignment="1">
      <alignment vertical="center"/>
    </xf>
    <xf numFmtId="170" fontId="2" fillId="9" borderId="8" xfId="0" applyNumberFormat="1" applyFont="1" applyFill="1" applyBorder="1" applyAlignment="1">
      <alignment vertical="center"/>
    </xf>
    <xf numFmtId="170" fontId="2" fillId="9" borderId="3" xfId="0" applyNumberFormat="1" applyFont="1" applyFill="1" applyBorder="1" applyAlignment="1">
      <alignment vertical="center"/>
    </xf>
    <xf numFmtId="170" fontId="2" fillId="9" borderId="6" xfId="0" applyNumberFormat="1" applyFont="1" applyFill="1" applyBorder="1" applyAlignment="1">
      <alignment vertical="center"/>
    </xf>
    <xf numFmtId="0" fontId="56" fillId="8" borderId="0" xfId="0" applyFont="1" applyFill="1" applyAlignment="1">
      <alignment horizontal="center"/>
    </xf>
    <xf numFmtId="0" fontId="2" fillId="0" borderId="1" xfId="0" applyFont="1" applyBorder="1" applyAlignment="1">
      <alignment wrapText="1"/>
    </xf>
    <xf numFmtId="0" fontId="56" fillId="0" borderId="1" xfId="0" applyNumberFormat="1" applyFont="1" applyBorder="1"/>
    <xf numFmtId="0" fontId="56" fillId="0" borderId="0" xfId="0" applyFont="1" applyBorder="1"/>
    <xf numFmtId="2" fontId="56" fillId="0" borderId="0" xfId="0" applyNumberFormat="1" applyFont="1" applyBorder="1"/>
    <xf numFmtId="0" fontId="2" fillId="8" borderId="0" xfId="0" applyFont="1" applyFill="1" applyAlignment="1">
      <alignment horizontal="center"/>
    </xf>
    <xf numFmtId="0" fontId="60" fillId="0" borderId="0" xfId="0" applyFont="1"/>
    <xf numFmtId="0" fontId="56" fillId="0" borderId="1" xfId="0" applyFont="1" applyBorder="1" applyAlignment="1">
      <alignment vertical="center" wrapText="1"/>
    </xf>
    <xf numFmtId="0" fontId="18" fillId="0" borderId="1" xfId="3" applyFont="1" applyFill="1" applyBorder="1" applyAlignment="1">
      <alignment horizontal="left" vertical="center"/>
    </xf>
    <xf numFmtId="169" fontId="56" fillId="0" borderId="1" xfId="0" applyNumberFormat="1" applyFont="1" applyBorder="1"/>
    <xf numFmtId="169" fontId="62" fillId="0" borderId="1" xfId="0" applyNumberFormat="1" applyFont="1" applyBorder="1"/>
    <xf numFmtId="4" fontId="2" fillId="0" borderId="1" xfId="0" applyNumberFormat="1" applyFont="1" applyBorder="1"/>
    <xf numFmtId="169" fontId="2" fillId="0" borderId="1" xfId="0" applyNumberFormat="1" applyFont="1" applyBorder="1"/>
    <xf numFmtId="0" fontId="63" fillId="0" borderId="1" xfId="3" applyFont="1" applyFill="1" applyBorder="1" applyAlignment="1">
      <alignment horizontal="left" vertical="center"/>
    </xf>
    <xf numFmtId="0" fontId="2" fillId="0" borderId="1" xfId="0" applyFont="1" applyBorder="1"/>
    <xf numFmtId="0" fontId="2" fillId="0" borderId="0" xfId="0" applyFont="1"/>
    <xf numFmtId="0" fontId="64" fillId="0" borderId="4" xfId="0" applyFont="1" applyBorder="1" applyAlignment="1">
      <alignment horizontal="center" vertical="center" wrapText="1"/>
    </xf>
    <xf numFmtId="0" fontId="65" fillId="0" borderId="15" xfId="0" applyFont="1" applyBorder="1" applyAlignment="1">
      <alignment vertical="center"/>
    </xf>
    <xf numFmtId="0" fontId="65" fillId="0" borderId="19" xfId="0" applyFont="1" applyBorder="1" applyAlignment="1">
      <alignment vertical="center"/>
    </xf>
    <xf numFmtId="0" fontId="57" fillId="0" borderId="7" xfId="0" applyFont="1" applyBorder="1" applyAlignment="1">
      <alignment vertical="center"/>
    </xf>
    <xf numFmtId="0" fontId="18" fillId="0" borderId="4" xfId="3" applyFont="1" applyFill="1" applyBorder="1" applyAlignment="1">
      <alignment horizontal="left" vertical="center"/>
    </xf>
    <xf numFmtId="170" fontId="58" fillId="0" borderId="1" xfId="0" applyNumberFormat="1" applyFont="1" applyBorder="1"/>
    <xf numFmtId="0" fontId="63" fillId="0" borderId="4" xfId="3" applyFont="1" applyFill="1" applyBorder="1" applyAlignment="1">
      <alignment horizontal="left" vertical="center"/>
    </xf>
    <xf numFmtId="170" fontId="56" fillId="0" borderId="0" xfId="0" applyNumberFormat="1" applyFont="1"/>
    <xf numFmtId="0" fontId="64" fillId="0" borderId="1" xfId="0" applyFont="1" applyBorder="1" applyAlignment="1">
      <alignment horizontal="center" vertical="center" wrapText="1"/>
    </xf>
    <xf numFmtId="0" fontId="5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57" fillId="0" borderId="1" xfId="0" applyFont="1" applyBorder="1" applyAlignment="1">
      <alignment horizontal="center" vertical="center"/>
    </xf>
    <xf numFmtId="0" fontId="57" fillId="0" borderId="0" xfId="0" applyFont="1" applyAlignment="1">
      <alignment horizontal="center"/>
    </xf>
    <xf numFmtId="0" fontId="64" fillId="0" borderId="1" xfId="0" applyFont="1" applyBorder="1" applyAlignment="1">
      <alignment vertical="center" wrapText="1"/>
    </xf>
    <xf numFmtId="0" fontId="56" fillId="6" borderId="24" xfId="0" applyFont="1" applyFill="1" applyBorder="1" applyAlignment="1">
      <alignment horizontal="center" vertical="center" wrapText="1"/>
    </xf>
    <xf numFmtId="0" fontId="56" fillId="6" borderId="25" xfId="0" applyFont="1" applyFill="1" applyBorder="1" applyAlignment="1">
      <alignment horizontal="center" vertical="center" wrapText="1"/>
    </xf>
    <xf numFmtId="0" fontId="2" fillId="8" borderId="0" xfId="0" applyFont="1" applyFill="1" applyAlignment="1">
      <alignment wrapText="1"/>
    </xf>
    <xf numFmtId="0" fontId="56" fillId="8" borderId="0" xfId="0" applyFont="1" applyFill="1" applyAlignment="1">
      <alignment wrapText="1"/>
    </xf>
    <xf numFmtId="0" fontId="56" fillId="12" borderId="1" xfId="0" applyFont="1" applyFill="1" applyBorder="1" applyAlignment="1">
      <alignment wrapText="1"/>
    </xf>
    <xf numFmtId="0" fontId="56" fillId="12" borderId="1" xfId="0" applyFont="1" applyFill="1" applyBorder="1" applyAlignment="1">
      <alignment horizontal="center" vertical="center" wrapText="1"/>
    </xf>
    <xf numFmtId="0" fontId="56" fillId="5" borderId="1" xfId="0" applyFont="1" applyFill="1" applyBorder="1" applyAlignment="1">
      <alignment horizontal="center" vertical="center" wrapText="1"/>
    </xf>
    <xf numFmtId="49" fontId="60" fillId="0" borderId="0" xfId="0" applyNumberFormat="1" applyFont="1" applyFill="1" applyBorder="1" applyAlignment="1">
      <alignment wrapText="1"/>
    </xf>
    <xf numFmtId="166" fontId="56" fillId="0" borderId="1" xfId="0" applyNumberFormat="1" applyFont="1" applyBorder="1"/>
    <xf numFmtId="9" fontId="58" fillId="0" borderId="1" xfId="6" applyFont="1" applyBorder="1"/>
    <xf numFmtId="0" fontId="18" fillId="0" borderId="10" xfId="3" applyFont="1" applyFill="1" applyBorder="1" applyAlignment="1">
      <alignment horizontal="left" vertical="center"/>
    </xf>
    <xf numFmtId="2" fontId="56" fillId="0" borderId="10" xfId="0" applyNumberFormat="1" applyFont="1" applyBorder="1"/>
    <xf numFmtId="2" fontId="58" fillId="0" borderId="0" xfId="0" applyNumberFormat="1" applyFont="1"/>
  </cellXfs>
  <cellStyles count="10">
    <cellStyle name="Βασικό_GVA 1999-2000-2001-2002 FINAL 21-1-05" xfId="4"/>
    <cellStyle name="Βασικό_PC95-96" xfId="9"/>
    <cellStyle name="Βασικό_Βιβλίο1" xfId="5"/>
    <cellStyle name="Βασικό_ΝΟΙΚΟΚΥΡΙΑ" xfId="8"/>
    <cellStyle name="Βασικό_ΠΕΡΙΦΕΡΕΙΑΚΟΙ  ΛΟΓΑΡΙΑΣΜΟΙ 1995-2002" xfId="3"/>
    <cellStyle name="Βασικό_ΠΙΝΑΚΕΣ ΔΗΜΟΣΙΕΥΜΑΤΟΣ" xfId="7"/>
    <cellStyle name="Κανονικό" xfId="0" builtinId="0"/>
    <cellStyle name="Κανονικό 2" xfId="2"/>
    <cellStyle name="Κανονικό 3" xfId="1"/>
    <cellStyle name="Ποσοστό" xfId="6" builtinId="5"/>
  </cellStyles>
  <dxfs count="0"/>
  <tableStyles count="0" defaultTableStyle="TableStyleMedium2" defaultPivotStyle="PivotStyleLight16"/>
  <colors>
    <mruColors>
      <color rgb="FF800080"/>
      <color rgb="FFFF0066"/>
      <color rgb="FFFF9933"/>
      <color rgb="FF3366FF"/>
      <color rgb="FF33CC33"/>
      <color rgb="FFFF9900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lang="en-US" sz="1200"/>
            </a:pPr>
            <a:r>
              <a:rPr lang="en-US" sz="1200"/>
              <a:t>Employement</a:t>
            </a:r>
            <a:r>
              <a:rPr lang="en-US" sz="1200" baseline="0"/>
              <a:t> in private sector- Seasonality</a:t>
            </a:r>
            <a:endParaRPr lang="el-GR" sz="1200"/>
          </a:p>
        </c:rich>
      </c:tx>
      <c:layout/>
    </c:title>
    <c:plotArea>
      <c:layout>
        <c:manualLayout>
          <c:layoutTarget val="inner"/>
          <c:xMode val="edge"/>
          <c:yMode val="edge"/>
          <c:x val="0.17156663763134108"/>
          <c:y val="0.12867751964229338"/>
          <c:w val="0.449361079989468"/>
          <c:h val="0.53957679222307564"/>
        </c:manualLayout>
      </c:layout>
      <c:lineChart>
        <c:grouping val="standard"/>
        <c:ser>
          <c:idx val="0"/>
          <c:order val="0"/>
          <c:tx>
            <c:strRef>
              <c:f>'employment enterprises'!$A$6</c:f>
              <c:strCache>
                <c:ptCount val="1"/>
                <c:pt idx="0">
                  <c:v>Region Vorio Aigaio (RVA)</c:v>
                </c:pt>
              </c:strCache>
            </c:strRef>
          </c:tx>
          <c:marker>
            <c:symbol val="none"/>
          </c:marker>
          <c:val>
            <c:numRef>
              <c:f>'employment enterprises'!$B$6:$M$6</c:f>
              <c:numCache>
                <c:formatCode>#,##0</c:formatCode>
                <c:ptCount val="12"/>
                <c:pt idx="0">
                  <c:v>1465</c:v>
                </c:pt>
                <c:pt idx="1">
                  <c:v>1400</c:v>
                </c:pt>
                <c:pt idx="2">
                  <c:v>1695</c:v>
                </c:pt>
                <c:pt idx="3">
                  <c:v>3574</c:v>
                </c:pt>
                <c:pt idx="4">
                  <c:v>4612</c:v>
                </c:pt>
                <c:pt idx="5">
                  <c:v>4762</c:v>
                </c:pt>
                <c:pt idx="6">
                  <c:v>5231</c:v>
                </c:pt>
                <c:pt idx="7">
                  <c:v>3573</c:v>
                </c:pt>
                <c:pt idx="8">
                  <c:v>3706</c:v>
                </c:pt>
                <c:pt idx="9">
                  <c:v>2365</c:v>
                </c:pt>
                <c:pt idx="10">
                  <c:v>2148</c:v>
                </c:pt>
                <c:pt idx="11">
                  <c:v>2104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846-43F9-B350-7FE0DCB620D2}"/>
            </c:ext>
          </c:extLst>
        </c:ser>
        <c:ser>
          <c:idx val="1"/>
          <c:order val="1"/>
          <c:tx>
            <c:strRef>
              <c:f>'employment enterprises'!$A$12</c:f>
              <c:strCache>
                <c:ptCount val="1"/>
                <c:pt idx="0">
                  <c:v>Region Notio Aigaio (RNA)</c:v>
                </c:pt>
              </c:strCache>
            </c:strRef>
          </c:tx>
          <c:marker>
            <c:symbol val="none"/>
          </c:marker>
          <c:val>
            <c:numRef>
              <c:f>'employment enterprises'!$B$12:$M$12</c:f>
              <c:numCache>
                <c:formatCode>#,##0</c:formatCode>
                <c:ptCount val="12"/>
                <c:pt idx="0">
                  <c:v>3530</c:v>
                </c:pt>
                <c:pt idx="1">
                  <c:v>4664</c:v>
                </c:pt>
                <c:pt idx="2">
                  <c:v>12559</c:v>
                </c:pt>
                <c:pt idx="3">
                  <c:v>46128</c:v>
                </c:pt>
                <c:pt idx="4">
                  <c:v>43519</c:v>
                </c:pt>
                <c:pt idx="5">
                  <c:v>29288</c:v>
                </c:pt>
                <c:pt idx="6">
                  <c:v>21338</c:v>
                </c:pt>
                <c:pt idx="7">
                  <c:v>10461</c:v>
                </c:pt>
                <c:pt idx="8">
                  <c:v>9838</c:v>
                </c:pt>
                <c:pt idx="9">
                  <c:v>6481</c:v>
                </c:pt>
                <c:pt idx="10">
                  <c:v>5372</c:v>
                </c:pt>
                <c:pt idx="11">
                  <c:v>3457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846-43F9-B350-7FE0DCB620D2}"/>
            </c:ext>
          </c:extLst>
        </c:ser>
        <c:marker val="1"/>
        <c:axId val="114547712"/>
        <c:axId val="114549504"/>
      </c:lineChart>
      <c:catAx>
        <c:axId val="114547712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US"/>
            </a:pPr>
            <a:endParaRPr lang="el-GR"/>
          </a:p>
        </c:txPr>
        <c:crossAx val="114549504"/>
        <c:crosses val="autoZero"/>
        <c:auto val="1"/>
        <c:lblAlgn val="ctr"/>
        <c:lblOffset val="100"/>
      </c:catAx>
      <c:valAx>
        <c:axId val="11454950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Emploees</a:t>
                </a:r>
                <a:r>
                  <a:rPr lang="en-US" baseline="0"/>
                  <a:t> at enterprises</a:t>
                </a:r>
                <a:endParaRPr lang="el-GR"/>
              </a:p>
            </c:rich>
          </c:tx>
          <c:layout/>
        </c:title>
        <c:numFmt formatCode="#,##0" sourceLinked="1"/>
        <c:majorTickMark val="none"/>
        <c:tickLblPos val="nextTo"/>
        <c:txPr>
          <a:bodyPr/>
          <a:lstStyle/>
          <a:p>
            <a:pPr>
              <a:defRPr lang="en-US"/>
            </a:pPr>
            <a:endParaRPr lang="el-GR"/>
          </a:p>
        </c:txPr>
        <c:crossAx val="114547712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lang="en-US"/>
          </a:pPr>
          <a:endParaRPr lang="el-GR"/>
        </a:p>
      </c:txPr>
    </c:legend>
    <c:plotVisOnly val="1"/>
    <c:dispBlanksAs val="gap"/>
  </c:chart>
  <c:printSettings>
    <c:headerFooter/>
    <c:pageMargins b="0.75000000000000189" l="0.70000000000000062" r="0.70000000000000062" t="0.75000000000000189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lang="en-US"/>
            </a:pPr>
            <a:r>
              <a:rPr lang="en-US"/>
              <a:t>Region Vorio Aigaio (RVA)</a:t>
            </a:r>
            <a:endParaRPr lang="el-GR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'employment enterprises'!$A$7</c:f>
              <c:strCache>
                <c:ptCount val="1"/>
                <c:pt idx="0">
                  <c:v>Regional Unit of Lesvos</c:v>
                </c:pt>
              </c:strCache>
            </c:strRef>
          </c:tx>
          <c:spPr>
            <a:solidFill>
              <a:srgbClr val="FF0066"/>
            </a:solidFill>
          </c:spPr>
          <c:val>
            <c:numRef>
              <c:f>'employment enterprises'!$B$7:$M$7</c:f>
              <c:numCache>
                <c:formatCode>#,##0</c:formatCode>
                <c:ptCount val="12"/>
                <c:pt idx="0">
                  <c:v>617</c:v>
                </c:pt>
                <c:pt idx="1">
                  <c:v>588</c:v>
                </c:pt>
                <c:pt idx="2">
                  <c:v>810</c:v>
                </c:pt>
                <c:pt idx="3">
                  <c:v>1440</c:v>
                </c:pt>
                <c:pt idx="4">
                  <c:v>1553</c:v>
                </c:pt>
                <c:pt idx="5">
                  <c:v>1613</c:v>
                </c:pt>
                <c:pt idx="6">
                  <c:v>1803</c:v>
                </c:pt>
                <c:pt idx="7">
                  <c:v>1446</c:v>
                </c:pt>
                <c:pt idx="8">
                  <c:v>1609</c:v>
                </c:pt>
                <c:pt idx="9">
                  <c:v>906</c:v>
                </c:pt>
                <c:pt idx="10">
                  <c:v>966</c:v>
                </c:pt>
                <c:pt idx="11">
                  <c:v>986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457-40B0-868A-C7A843EC9390}"/>
            </c:ext>
          </c:extLst>
        </c:ser>
        <c:ser>
          <c:idx val="1"/>
          <c:order val="1"/>
          <c:tx>
            <c:strRef>
              <c:f>'employment enterprises'!$A$8</c:f>
              <c:strCache>
                <c:ptCount val="1"/>
                <c:pt idx="0">
                  <c:v>Regional Unit of Limnos (Limnos, Ag.Efstratios)</c:v>
                </c:pt>
              </c:strCache>
            </c:strRef>
          </c:tx>
          <c:spPr>
            <a:solidFill>
              <a:srgbClr val="33CC33"/>
            </a:solidFill>
          </c:spPr>
          <c:val>
            <c:numRef>
              <c:f>'employment enterprises'!$B$8:$M$8</c:f>
              <c:numCache>
                <c:formatCode>#,##0</c:formatCode>
                <c:ptCount val="12"/>
                <c:pt idx="0">
                  <c:v>68</c:v>
                </c:pt>
                <c:pt idx="1">
                  <c:v>53</c:v>
                </c:pt>
                <c:pt idx="2">
                  <c:v>86</c:v>
                </c:pt>
                <c:pt idx="3">
                  <c:v>86</c:v>
                </c:pt>
                <c:pt idx="4">
                  <c:v>437</c:v>
                </c:pt>
                <c:pt idx="5">
                  <c:v>440</c:v>
                </c:pt>
                <c:pt idx="6">
                  <c:v>717</c:v>
                </c:pt>
                <c:pt idx="7">
                  <c:v>195</c:v>
                </c:pt>
                <c:pt idx="8">
                  <c:v>145</c:v>
                </c:pt>
                <c:pt idx="9">
                  <c:v>93</c:v>
                </c:pt>
                <c:pt idx="10">
                  <c:v>78</c:v>
                </c:pt>
                <c:pt idx="11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457-40B0-868A-C7A843EC9390}"/>
            </c:ext>
          </c:extLst>
        </c:ser>
        <c:ser>
          <c:idx val="2"/>
          <c:order val="2"/>
          <c:tx>
            <c:strRef>
              <c:f>'employment enterprises'!$A$9</c:f>
              <c:strCache>
                <c:ptCount val="1"/>
                <c:pt idx="0">
                  <c:v>Regional Unitof  Ikaria (Ikaria, Fourni)</c:v>
                </c:pt>
              </c:strCache>
            </c:strRef>
          </c:tx>
          <c:spPr>
            <a:solidFill>
              <a:srgbClr val="C00000"/>
            </a:solidFill>
          </c:spPr>
          <c:val>
            <c:numRef>
              <c:f>'employment enterprises'!$B$9:$M$9</c:f>
              <c:numCache>
                <c:formatCode>#,##0</c:formatCode>
                <c:ptCount val="12"/>
                <c:pt idx="0">
                  <c:v>13</c:v>
                </c:pt>
                <c:pt idx="1">
                  <c:v>15</c:v>
                </c:pt>
                <c:pt idx="2">
                  <c:v>17</c:v>
                </c:pt>
                <c:pt idx="3">
                  <c:v>23</c:v>
                </c:pt>
                <c:pt idx="4">
                  <c:v>107</c:v>
                </c:pt>
                <c:pt idx="5">
                  <c:v>327</c:v>
                </c:pt>
                <c:pt idx="6">
                  <c:v>200</c:v>
                </c:pt>
                <c:pt idx="7">
                  <c:v>136</c:v>
                </c:pt>
                <c:pt idx="8">
                  <c:v>43</c:v>
                </c:pt>
                <c:pt idx="9">
                  <c:v>39</c:v>
                </c:pt>
                <c:pt idx="10">
                  <c:v>27</c:v>
                </c:pt>
                <c:pt idx="11">
                  <c:v>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457-40B0-868A-C7A843EC9390}"/>
            </c:ext>
          </c:extLst>
        </c:ser>
        <c:ser>
          <c:idx val="3"/>
          <c:order val="3"/>
          <c:tx>
            <c:strRef>
              <c:f>'employment enterprises'!$A$10</c:f>
              <c:strCache>
                <c:ptCount val="1"/>
                <c:pt idx="0">
                  <c:v>Regional Unit of  Samos</c:v>
                </c:pt>
              </c:strCache>
            </c:strRef>
          </c:tx>
          <c:spPr>
            <a:solidFill>
              <a:srgbClr val="FF9900"/>
            </a:solidFill>
          </c:spPr>
          <c:val>
            <c:numRef>
              <c:f>'employment enterprises'!$B$10:$M$10</c:f>
              <c:numCache>
                <c:formatCode>#,##0</c:formatCode>
                <c:ptCount val="12"/>
                <c:pt idx="0">
                  <c:v>371</c:v>
                </c:pt>
                <c:pt idx="1">
                  <c:v>293</c:v>
                </c:pt>
                <c:pt idx="2">
                  <c:v>331</c:v>
                </c:pt>
                <c:pt idx="3">
                  <c:v>1329</c:v>
                </c:pt>
                <c:pt idx="4">
                  <c:v>1798</c:v>
                </c:pt>
                <c:pt idx="5">
                  <c:v>1220</c:v>
                </c:pt>
                <c:pt idx="6">
                  <c:v>975</c:v>
                </c:pt>
                <c:pt idx="7">
                  <c:v>838</c:v>
                </c:pt>
                <c:pt idx="8">
                  <c:v>775</c:v>
                </c:pt>
                <c:pt idx="9">
                  <c:v>514</c:v>
                </c:pt>
                <c:pt idx="10">
                  <c:v>472</c:v>
                </c:pt>
                <c:pt idx="11">
                  <c:v>376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457-40B0-868A-C7A843EC9390}"/>
            </c:ext>
          </c:extLst>
        </c:ser>
        <c:ser>
          <c:idx val="4"/>
          <c:order val="4"/>
          <c:tx>
            <c:strRef>
              <c:f>'employment enterprises'!$A$11</c:f>
              <c:strCache>
                <c:ptCount val="1"/>
                <c:pt idx="0">
                  <c:v>Regional Unit of  Chios (Chios, Oinoussai, Psara)</c:v>
                </c:pt>
              </c:strCache>
            </c:strRef>
          </c:tx>
          <c:val>
            <c:numRef>
              <c:f>'employment enterprises'!$B$11:$M$11</c:f>
              <c:numCache>
                <c:formatCode>#,##0</c:formatCode>
                <c:ptCount val="12"/>
                <c:pt idx="0">
                  <c:v>396</c:v>
                </c:pt>
                <c:pt idx="1">
                  <c:v>451</c:v>
                </c:pt>
                <c:pt idx="2">
                  <c:v>451</c:v>
                </c:pt>
                <c:pt idx="3">
                  <c:v>696</c:v>
                </c:pt>
                <c:pt idx="4">
                  <c:v>717</c:v>
                </c:pt>
                <c:pt idx="5">
                  <c:v>1162</c:v>
                </c:pt>
                <c:pt idx="6">
                  <c:v>1536</c:v>
                </c:pt>
                <c:pt idx="7">
                  <c:v>958</c:v>
                </c:pt>
                <c:pt idx="8">
                  <c:v>1134</c:v>
                </c:pt>
                <c:pt idx="9">
                  <c:v>813</c:v>
                </c:pt>
                <c:pt idx="10">
                  <c:v>605</c:v>
                </c:pt>
                <c:pt idx="11">
                  <c:v>614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457-40B0-868A-C7A843EC9390}"/>
            </c:ext>
          </c:extLst>
        </c:ser>
        <c:axId val="115548928"/>
        <c:axId val="115550848"/>
      </c:barChart>
      <c:catAx>
        <c:axId val="1155489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Months, 2019</a:t>
                </a:r>
                <a:endParaRPr lang="el-GR"/>
              </a:p>
            </c:rich>
          </c:tx>
          <c:layout/>
        </c:title>
        <c:majorTickMark val="none"/>
        <c:tickLblPos val="nextTo"/>
        <c:txPr>
          <a:bodyPr/>
          <a:lstStyle/>
          <a:p>
            <a:pPr>
              <a:defRPr lang="en-US"/>
            </a:pPr>
            <a:endParaRPr lang="el-GR"/>
          </a:p>
        </c:txPr>
        <c:crossAx val="115550848"/>
        <c:crosses val="autoZero"/>
        <c:auto val="1"/>
        <c:lblAlgn val="ctr"/>
        <c:lblOffset val="100"/>
      </c:catAx>
      <c:valAx>
        <c:axId val="11555084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en-US" sz="800"/>
                </a:pPr>
                <a:r>
                  <a:rPr lang="en-US" sz="800" b="1" i="0" baseline="0"/>
                  <a:t>Emploees at enterprises</a:t>
                </a:r>
                <a:endParaRPr lang="el-GR" sz="800" b="1" i="0" baseline="0"/>
              </a:p>
            </c:rich>
          </c:tx>
          <c:layout/>
        </c:title>
        <c:numFmt formatCode="#,##0" sourceLinked="1"/>
        <c:tickLblPos val="nextTo"/>
        <c:txPr>
          <a:bodyPr/>
          <a:lstStyle/>
          <a:p>
            <a:pPr>
              <a:defRPr lang="en-US"/>
            </a:pPr>
            <a:endParaRPr lang="el-GR"/>
          </a:p>
        </c:txPr>
        <c:crossAx val="115548928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lang="en-US"/>
          </a:pPr>
          <a:endParaRPr lang="el-GR"/>
        </a:p>
      </c:txPr>
    </c:legend>
    <c:plotVisOnly val="1"/>
    <c:dispBlanksAs val="gap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lang="en-US" sz="1400"/>
            </a:pPr>
            <a:r>
              <a:rPr lang="en-US" sz="1400"/>
              <a:t>Region Notio Aigaio (RNA),Dodecanissa Departement </a:t>
            </a:r>
            <a:endParaRPr lang="el-GR" sz="1400"/>
          </a:p>
        </c:rich>
      </c:tx>
      <c:layout>
        <c:manualLayout>
          <c:xMode val="edge"/>
          <c:yMode val="edge"/>
          <c:x val="0.1103224859130371"/>
          <c:y val="1.6666666666666701E-2"/>
        </c:manualLayout>
      </c:layout>
    </c:title>
    <c:plotArea>
      <c:layout/>
      <c:barChart>
        <c:barDir val="col"/>
        <c:grouping val="clustered"/>
        <c:ser>
          <c:idx val="0"/>
          <c:order val="0"/>
          <c:tx>
            <c:strRef>
              <c:f>'employment enterprises'!$A$14</c:f>
              <c:strCache>
                <c:ptCount val="1"/>
                <c:pt idx="0">
                  <c:v>Regional Unit of Kalymnos (Kalymnos,Agathonissi,Astypalaia,Lipsi,Leros,Patmos</c:v>
                </c:pt>
              </c:strCache>
            </c:strRef>
          </c:tx>
          <c:spPr>
            <a:solidFill>
              <a:srgbClr val="FF33CC"/>
            </a:solidFill>
          </c:spPr>
          <c:val>
            <c:numRef>
              <c:f>'employment enterprises'!$B$14:$M$14</c:f>
              <c:numCache>
                <c:formatCode>#,##0</c:formatCode>
                <c:ptCount val="12"/>
                <c:pt idx="0">
                  <c:v>102</c:v>
                </c:pt>
                <c:pt idx="1">
                  <c:v>126</c:v>
                </c:pt>
                <c:pt idx="2">
                  <c:v>164</c:v>
                </c:pt>
                <c:pt idx="3">
                  <c:v>385</c:v>
                </c:pt>
                <c:pt idx="4">
                  <c:v>752</c:v>
                </c:pt>
                <c:pt idx="5">
                  <c:v>853</c:v>
                </c:pt>
                <c:pt idx="6">
                  <c:v>688</c:v>
                </c:pt>
                <c:pt idx="7">
                  <c:v>318</c:v>
                </c:pt>
                <c:pt idx="8">
                  <c:v>210</c:v>
                </c:pt>
                <c:pt idx="9">
                  <c:v>185</c:v>
                </c:pt>
                <c:pt idx="10">
                  <c:v>139</c:v>
                </c:pt>
                <c:pt idx="11">
                  <c:v>115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DC0-4690-A18C-69E31551888A}"/>
            </c:ext>
          </c:extLst>
        </c:ser>
        <c:ser>
          <c:idx val="1"/>
          <c:order val="1"/>
          <c:tx>
            <c:strRef>
              <c:f>'employment enterprises'!$A$15</c:f>
              <c:strCache>
                <c:ptCount val="1"/>
                <c:pt idx="0">
                  <c:v>Regional Unit of Karpathos (Karpathos,Kasos)</c:v>
                </c:pt>
              </c:strCache>
            </c:strRef>
          </c:tx>
          <c:spPr>
            <a:solidFill>
              <a:srgbClr val="3366FF"/>
            </a:solidFill>
          </c:spPr>
          <c:val>
            <c:numRef>
              <c:f>'employment enterprises'!$B$15:$M$15</c:f>
              <c:numCache>
                <c:formatCode>#,##0</c:formatCode>
                <c:ptCount val="12"/>
                <c:pt idx="0">
                  <c:v>19</c:v>
                </c:pt>
                <c:pt idx="1">
                  <c:v>17</c:v>
                </c:pt>
                <c:pt idx="2">
                  <c:v>25</c:v>
                </c:pt>
                <c:pt idx="3">
                  <c:v>176</c:v>
                </c:pt>
                <c:pt idx="4">
                  <c:v>828</c:v>
                </c:pt>
                <c:pt idx="5">
                  <c:v>521</c:v>
                </c:pt>
                <c:pt idx="6">
                  <c:v>225</c:v>
                </c:pt>
                <c:pt idx="7">
                  <c:v>104</c:v>
                </c:pt>
                <c:pt idx="8">
                  <c:v>56</c:v>
                </c:pt>
                <c:pt idx="9">
                  <c:v>41</c:v>
                </c:pt>
                <c:pt idx="10">
                  <c:v>31</c:v>
                </c:pt>
                <c:pt idx="11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DC0-4690-A18C-69E31551888A}"/>
            </c:ext>
          </c:extLst>
        </c:ser>
        <c:ser>
          <c:idx val="2"/>
          <c:order val="2"/>
          <c:tx>
            <c:strRef>
              <c:f>'employment enterprises'!$A$16</c:f>
              <c:strCache>
                <c:ptCount val="1"/>
                <c:pt idx="0">
                  <c:v>Regional Unit of Kos (Kos,Nisyros)</c:v>
                </c:pt>
              </c:strCache>
            </c:strRef>
          </c:tx>
          <c:spPr>
            <a:solidFill>
              <a:srgbClr val="33CC33"/>
            </a:solidFill>
          </c:spPr>
          <c:val>
            <c:numRef>
              <c:f>'employment enterprises'!$B$16:$M$16</c:f>
              <c:numCache>
                <c:formatCode>#,##0</c:formatCode>
                <c:ptCount val="12"/>
                <c:pt idx="0">
                  <c:v>440</c:v>
                </c:pt>
                <c:pt idx="1">
                  <c:v>665</c:v>
                </c:pt>
                <c:pt idx="2">
                  <c:v>1386</c:v>
                </c:pt>
                <c:pt idx="3">
                  <c:v>7876</c:v>
                </c:pt>
                <c:pt idx="4">
                  <c:v>8134</c:v>
                </c:pt>
                <c:pt idx="5">
                  <c:v>3561</c:v>
                </c:pt>
                <c:pt idx="6">
                  <c:v>2289</c:v>
                </c:pt>
                <c:pt idx="7">
                  <c:v>1207</c:v>
                </c:pt>
                <c:pt idx="8">
                  <c:v>829</c:v>
                </c:pt>
                <c:pt idx="9">
                  <c:v>660</c:v>
                </c:pt>
                <c:pt idx="10">
                  <c:v>658</c:v>
                </c:pt>
                <c:pt idx="11">
                  <c:v>470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DC0-4690-A18C-69E31551888A}"/>
            </c:ext>
          </c:extLst>
        </c:ser>
        <c:ser>
          <c:idx val="3"/>
          <c:order val="3"/>
          <c:tx>
            <c:strRef>
              <c:f>'employment enterprises'!$A$17</c:f>
              <c:strCache>
                <c:ptCount val="1"/>
                <c:pt idx="0">
                  <c:v>Regional Unit of Rodos (Rodos,Megisti,Symi,Tilos,Chalki)</c:v>
                </c:pt>
              </c:strCache>
            </c:strRef>
          </c:tx>
          <c:spPr>
            <a:solidFill>
              <a:srgbClr val="FF0000"/>
            </a:solidFill>
          </c:spPr>
          <c:val>
            <c:numRef>
              <c:f>'employment enterprises'!$B$17:$M$17</c:f>
              <c:numCache>
                <c:formatCode>#,##0</c:formatCode>
                <c:ptCount val="12"/>
                <c:pt idx="0">
                  <c:v>1755</c:v>
                </c:pt>
                <c:pt idx="1">
                  <c:v>2147</c:v>
                </c:pt>
                <c:pt idx="2">
                  <c:v>4932</c:v>
                </c:pt>
                <c:pt idx="3">
                  <c:v>18635</c:v>
                </c:pt>
                <c:pt idx="4">
                  <c:v>13980</c:v>
                </c:pt>
                <c:pt idx="5">
                  <c:v>6759</c:v>
                </c:pt>
                <c:pt idx="6">
                  <c:v>4573</c:v>
                </c:pt>
                <c:pt idx="7">
                  <c:v>2935</c:v>
                </c:pt>
                <c:pt idx="8">
                  <c:v>3663</c:v>
                </c:pt>
                <c:pt idx="9">
                  <c:v>2231</c:v>
                </c:pt>
                <c:pt idx="10">
                  <c:v>2566</c:v>
                </c:pt>
                <c:pt idx="11">
                  <c:v>1651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DC0-4690-A18C-69E31551888A}"/>
            </c:ext>
          </c:extLst>
        </c:ser>
        <c:axId val="115586176"/>
        <c:axId val="115588096"/>
      </c:barChart>
      <c:catAx>
        <c:axId val="1155861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US" sz="1050"/>
                </a:pPr>
                <a:r>
                  <a:rPr lang="en-US" sz="1050" b="1" i="0" baseline="0"/>
                  <a:t>Months, 2019</a:t>
                </a:r>
                <a:endParaRPr lang="el-GR" sz="1050" b="1" i="0" baseline="0"/>
              </a:p>
            </c:rich>
          </c:tx>
          <c:layout/>
        </c:title>
        <c:majorTickMark val="none"/>
        <c:tickLblPos val="nextTo"/>
        <c:txPr>
          <a:bodyPr/>
          <a:lstStyle/>
          <a:p>
            <a:pPr>
              <a:defRPr lang="en-US"/>
            </a:pPr>
            <a:endParaRPr lang="el-GR"/>
          </a:p>
        </c:txPr>
        <c:crossAx val="115588096"/>
        <c:crosses val="autoZero"/>
        <c:auto val="1"/>
        <c:lblAlgn val="ctr"/>
        <c:lblOffset val="100"/>
      </c:catAx>
      <c:valAx>
        <c:axId val="11558809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en-US" sz="900"/>
                </a:pPr>
                <a:r>
                  <a:rPr lang="en-US" sz="900" b="1" i="0" baseline="0"/>
                  <a:t>Emploees at enterprises</a:t>
                </a:r>
                <a:endParaRPr lang="el-GR" sz="900" b="1" i="0" baseline="0"/>
              </a:p>
            </c:rich>
          </c:tx>
          <c:layout/>
        </c:title>
        <c:numFmt formatCode="#,##0" sourceLinked="1"/>
        <c:tickLblPos val="nextTo"/>
        <c:txPr>
          <a:bodyPr/>
          <a:lstStyle/>
          <a:p>
            <a:pPr>
              <a:defRPr lang="en-US"/>
            </a:pPr>
            <a:endParaRPr lang="el-GR"/>
          </a:p>
        </c:txPr>
        <c:crossAx val="115586176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lang="en-US"/>
          </a:pPr>
          <a:endParaRPr lang="el-GR"/>
        </a:p>
      </c:txPr>
    </c:legend>
    <c:plotVisOnly val="1"/>
    <c:dispBlanksAs val="gap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lang="en-US" sz="1400"/>
            </a:pPr>
            <a:r>
              <a:rPr lang="en-US" sz="1400" b="1" i="0" u="none" strike="noStrike" baseline="0"/>
              <a:t>Region Notio Aigaio (RNA),Kyklades Departement</a:t>
            </a:r>
            <a:endParaRPr lang="el-GR" sz="1400"/>
          </a:p>
        </c:rich>
      </c:tx>
      <c:layout>
        <c:manualLayout>
          <c:xMode val="edge"/>
          <c:yMode val="edge"/>
          <c:x val="0.11065653293917636"/>
          <c:y val="1.8518518518518566E-2"/>
        </c:manualLayout>
      </c:layout>
    </c:title>
    <c:plotArea>
      <c:layout/>
      <c:barChart>
        <c:barDir val="col"/>
        <c:grouping val="clustered"/>
        <c:ser>
          <c:idx val="0"/>
          <c:order val="0"/>
          <c:tx>
            <c:strRef>
              <c:f>'employment enterprises'!$A$19</c:f>
              <c:strCache>
                <c:ptCount val="1"/>
                <c:pt idx="0">
                  <c:v>Regional Unit of Andros</c:v>
                </c:pt>
              </c:strCache>
            </c:strRef>
          </c:tx>
          <c:val>
            <c:numRef>
              <c:f>'employment enterprises'!$B$19:$M$19</c:f>
              <c:numCache>
                <c:formatCode>#,##0</c:formatCode>
                <c:ptCount val="12"/>
                <c:pt idx="0">
                  <c:v>14</c:v>
                </c:pt>
                <c:pt idx="1">
                  <c:v>44</c:v>
                </c:pt>
                <c:pt idx="2">
                  <c:v>79</c:v>
                </c:pt>
                <c:pt idx="3">
                  <c:v>306</c:v>
                </c:pt>
                <c:pt idx="4">
                  <c:v>230</c:v>
                </c:pt>
                <c:pt idx="5">
                  <c:v>559</c:v>
                </c:pt>
                <c:pt idx="6">
                  <c:v>645</c:v>
                </c:pt>
                <c:pt idx="7">
                  <c:v>235</c:v>
                </c:pt>
                <c:pt idx="8">
                  <c:v>91</c:v>
                </c:pt>
                <c:pt idx="9">
                  <c:v>100</c:v>
                </c:pt>
                <c:pt idx="10">
                  <c:v>45</c:v>
                </c:pt>
                <c:pt idx="11">
                  <c:v>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A1-4C04-942D-623B47C129BD}"/>
            </c:ext>
          </c:extLst>
        </c:ser>
        <c:ser>
          <c:idx val="1"/>
          <c:order val="1"/>
          <c:tx>
            <c:strRef>
              <c:f>'employment enterprises'!$A$20</c:f>
              <c:strCache>
                <c:ptCount val="1"/>
                <c:pt idx="0">
                  <c:v>Regional Unit of Thira (Thira,Thirasia,Ios,Anafi,Sikinos,Folegandros)</c:v>
                </c:pt>
              </c:strCache>
            </c:strRef>
          </c:tx>
          <c:spPr>
            <a:solidFill>
              <a:srgbClr val="FF0000"/>
            </a:solidFill>
          </c:spPr>
          <c:val>
            <c:numRef>
              <c:f>'employment enterprises'!$B$20:$M$20</c:f>
              <c:numCache>
                <c:formatCode>#,##0</c:formatCode>
                <c:ptCount val="12"/>
                <c:pt idx="0">
                  <c:v>422</c:v>
                </c:pt>
                <c:pt idx="1">
                  <c:v>644</c:v>
                </c:pt>
                <c:pt idx="2">
                  <c:v>3172</c:v>
                </c:pt>
                <c:pt idx="3">
                  <c:v>7892</c:v>
                </c:pt>
                <c:pt idx="4">
                  <c:v>6412</c:v>
                </c:pt>
                <c:pt idx="5">
                  <c:v>3806</c:v>
                </c:pt>
                <c:pt idx="6">
                  <c:v>3100</c:v>
                </c:pt>
                <c:pt idx="7">
                  <c:v>1810</c:v>
                </c:pt>
                <c:pt idx="8">
                  <c:v>1372</c:v>
                </c:pt>
                <c:pt idx="9">
                  <c:v>1056</c:v>
                </c:pt>
                <c:pt idx="10">
                  <c:v>729</c:v>
                </c:pt>
                <c:pt idx="11">
                  <c:v>327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2A1-4C04-942D-623B47C129BD}"/>
            </c:ext>
          </c:extLst>
        </c:ser>
        <c:ser>
          <c:idx val="2"/>
          <c:order val="2"/>
          <c:tx>
            <c:strRef>
              <c:f>'employment enterprises'!$A$21</c:f>
              <c:strCache>
                <c:ptCount val="1"/>
                <c:pt idx="0">
                  <c:v>Regional Unit of Kea-Kythnos</c:v>
                </c:pt>
              </c:strCache>
            </c:strRef>
          </c:tx>
          <c:val>
            <c:numRef>
              <c:f>'employment enterprises'!$B$21:$M$21</c:f>
              <c:numCache>
                <c:formatCode>#,##0</c:formatCode>
                <c:ptCount val="12"/>
                <c:pt idx="0">
                  <c:v>2</c:v>
                </c:pt>
                <c:pt idx="1">
                  <c:v>6</c:v>
                </c:pt>
                <c:pt idx="2">
                  <c:v>9</c:v>
                </c:pt>
                <c:pt idx="3">
                  <c:v>214</c:v>
                </c:pt>
                <c:pt idx="4">
                  <c:v>204</c:v>
                </c:pt>
                <c:pt idx="5">
                  <c:v>397</c:v>
                </c:pt>
                <c:pt idx="6">
                  <c:v>423</c:v>
                </c:pt>
                <c:pt idx="7">
                  <c:v>161</c:v>
                </c:pt>
                <c:pt idx="8">
                  <c:v>89</c:v>
                </c:pt>
                <c:pt idx="9">
                  <c:v>24</c:v>
                </c:pt>
                <c:pt idx="10">
                  <c:v>12</c:v>
                </c:pt>
                <c:pt idx="11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2A1-4C04-942D-623B47C129BD}"/>
            </c:ext>
          </c:extLst>
        </c:ser>
        <c:ser>
          <c:idx val="3"/>
          <c:order val="3"/>
          <c:tx>
            <c:strRef>
              <c:f>'employment enterprises'!$A$22</c:f>
              <c:strCache>
                <c:ptCount val="1"/>
                <c:pt idx="0">
                  <c:v>Regional Unitof Milos  (Milos,Kimolos,Serifos,Sifnos)</c:v>
                </c:pt>
              </c:strCache>
            </c:strRef>
          </c:tx>
          <c:spPr>
            <a:solidFill>
              <a:srgbClr val="FF9933"/>
            </a:solidFill>
          </c:spPr>
          <c:val>
            <c:numRef>
              <c:f>'employment enterprises'!$B$22:$M$22</c:f>
              <c:numCache>
                <c:formatCode>#,##0</c:formatCode>
                <c:ptCount val="12"/>
                <c:pt idx="0">
                  <c:v>41</c:v>
                </c:pt>
                <c:pt idx="1">
                  <c:v>49</c:v>
                </c:pt>
                <c:pt idx="2">
                  <c:v>81</c:v>
                </c:pt>
                <c:pt idx="3">
                  <c:v>569</c:v>
                </c:pt>
                <c:pt idx="4">
                  <c:v>970</c:v>
                </c:pt>
                <c:pt idx="5">
                  <c:v>1436</c:v>
                </c:pt>
                <c:pt idx="6">
                  <c:v>1166</c:v>
                </c:pt>
                <c:pt idx="7">
                  <c:v>286</c:v>
                </c:pt>
                <c:pt idx="8">
                  <c:v>156</c:v>
                </c:pt>
                <c:pt idx="9">
                  <c:v>132</c:v>
                </c:pt>
                <c:pt idx="10">
                  <c:v>49</c:v>
                </c:pt>
                <c:pt idx="11">
                  <c:v>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2A1-4C04-942D-623B47C129BD}"/>
            </c:ext>
          </c:extLst>
        </c:ser>
        <c:ser>
          <c:idx val="4"/>
          <c:order val="4"/>
          <c:tx>
            <c:strRef>
              <c:f>'employment enterprises'!$A$23</c:f>
              <c:strCache>
                <c:ptCount val="1"/>
                <c:pt idx="0">
                  <c:v>Regional Unit of Mykonos</c:v>
                </c:pt>
              </c:strCache>
            </c:strRef>
          </c:tx>
          <c:spPr>
            <a:solidFill>
              <a:srgbClr val="33CC33"/>
            </a:solidFill>
          </c:spPr>
          <c:val>
            <c:numRef>
              <c:f>'employment enterprises'!$B$23:$M$23</c:f>
              <c:numCache>
                <c:formatCode>#,##0</c:formatCode>
                <c:ptCount val="12"/>
                <c:pt idx="0">
                  <c:v>226</c:v>
                </c:pt>
                <c:pt idx="1">
                  <c:v>364</c:v>
                </c:pt>
                <c:pt idx="2">
                  <c:v>1372</c:v>
                </c:pt>
                <c:pt idx="3">
                  <c:v>6300</c:v>
                </c:pt>
                <c:pt idx="4">
                  <c:v>6592</c:v>
                </c:pt>
                <c:pt idx="5">
                  <c:v>4116</c:v>
                </c:pt>
                <c:pt idx="6">
                  <c:v>2768</c:v>
                </c:pt>
                <c:pt idx="7">
                  <c:v>1292</c:v>
                </c:pt>
                <c:pt idx="8">
                  <c:v>994</c:v>
                </c:pt>
                <c:pt idx="9">
                  <c:v>679</c:v>
                </c:pt>
                <c:pt idx="10">
                  <c:v>367</c:v>
                </c:pt>
                <c:pt idx="11">
                  <c:v>171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2A1-4C04-942D-623B47C129BD}"/>
            </c:ext>
          </c:extLst>
        </c:ser>
        <c:ser>
          <c:idx val="5"/>
          <c:order val="5"/>
          <c:tx>
            <c:strRef>
              <c:f>'employment enterprises'!$A$24</c:f>
              <c:strCache>
                <c:ptCount val="1"/>
                <c:pt idx="0">
                  <c:v>Regional Unit of Naxos (Naxos,Amorgos,Donoussa,Iraklia,Koufonissi,Schinoussa)</c:v>
                </c:pt>
              </c:strCache>
            </c:strRef>
          </c:tx>
          <c:spPr>
            <a:solidFill>
              <a:srgbClr val="800080"/>
            </a:solidFill>
          </c:spPr>
          <c:val>
            <c:numRef>
              <c:f>'employment enterprises'!$B$24:$M$24</c:f>
              <c:numCache>
                <c:formatCode>#,##0</c:formatCode>
                <c:ptCount val="12"/>
                <c:pt idx="0">
                  <c:v>90</c:v>
                </c:pt>
                <c:pt idx="1">
                  <c:v>131</c:v>
                </c:pt>
                <c:pt idx="2">
                  <c:v>228</c:v>
                </c:pt>
                <c:pt idx="3">
                  <c:v>683</c:v>
                </c:pt>
                <c:pt idx="4">
                  <c:v>2049</c:v>
                </c:pt>
                <c:pt idx="5">
                  <c:v>2398</c:v>
                </c:pt>
                <c:pt idx="6">
                  <c:v>1627</c:v>
                </c:pt>
                <c:pt idx="7">
                  <c:v>483</c:v>
                </c:pt>
                <c:pt idx="8">
                  <c:v>361</c:v>
                </c:pt>
                <c:pt idx="9">
                  <c:v>301</c:v>
                </c:pt>
                <c:pt idx="10">
                  <c:v>160</c:v>
                </c:pt>
                <c:pt idx="11">
                  <c:v>110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E2A1-4C04-942D-623B47C129BD}"/>
            </c:ext>
          </c:extLst>
        </c:ser>
        <c:ser>
          <c:idx val="6"/>
          <c:order val="6"/>
          <c:tx>
            <c:strRef>
              <c:f>'employment enterprises'!$A$25</c:f>
              <c:strCache>
                <c:ptCount val="1"/>
                <c:pt idx="0">
                  <c:v>Regional Unit of Paros (Paros,Antiparos)</c:v>
                </c:pt>
              </c:strCache>
            </c:strRef>
          </c:tx>
          <c:spPr>
            <a:solidFill>
              <a:srgbClr val="3366FF"/>
            </a:solidFill>
          </c:spPr>
          <c:val>
            <c:numRef>
              <c:f>'employment enterprises'!$B$25:$M$25</c:f>
              <c:numCache>
                <c:formatCode>#,##0</c:formatCode>
                <c:ptCount val="12"/>
                <c:pt idx="0">
                  <c:v>124</c:v>
                </c:pt>
                <c:pt idx="1">
                  <c:v>173</c:v>
                </c:pt>
                <c:pt idx="2">
                  <c:v>372</c:v>
                </c:pt>
                <c:pt idx="3">
                  <c:v>1798</c:v>
                </c:pt>
                <c:pt idx="4">
                  <c:v>2294</c:v>
                </c:pt>
                <c:pt idx="5">
                  <c:v>2952</c:v>
                </c:pt>
                <c:pt idx="6">
                  <c:v>2220</c:v>
                </c:pt>
                <c:pt idx="7">
                  <c:v>905</c:v>
                </c:pt>
                <c:pt idx="8">
                  <c:v>525</c:v>
                </c:pt>
                <c:pt idx="9">
                  <c:v>349</c:v>
                </c:pt>
                <c:pt idx="10">
                  <c:v>165</c:v>
                </c:pt>
                <c:pt idx="11">
                  <c:v>124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2A1-4C04-942D-623B47C129BD}"/>
            </c:ext>
          </c:extLst>
        </c:ser>
        <c:ser>
          <c:idx val="7"/>
          <c:order val="7"/>
          <c:tx>
            <c:strRef>
              <c:f>'employment enterprises'!$A$26</c:f>
              <c:strCache>
                <c:ptCount val="1"/>
                <c:pt idx="0">
                  <c:v>Regional Unit of Syros</c:v>
                </c:pt>
              </c:strCache>
            </c:strRef>
          </c:tx>
          <c:val>
            <c:numRef>
              <c:f>'employment enterprises'!$B$26:$M$26</c:f>
              <c:numCache>
                <c:formatCode>#,##0</c:formatCode>
                <c:ptCount val="12"/>
                <c:pt idx="0">
                  <c:v>234</c:v>
                </c:pt>
                <c:pt idx="1">
                  <c:v>260</c:v>
                </c:pt>
                <c:pt idx="2">
                  <c:v>361</c:v>
                </c:pt>
                <c:pt idx="3">
                  <c:v>732</c:v>
                </c:pt>
                <c:pt idx="4">
                  <c:v>614</c:v>
                </c:pt>
                <c:pt idx="5">
                  <c:v>1099</c:v>
                </c:pt>
                <c:pt idx="6">
                  <c:v>891</c:v>
                </c:pt>
                <c:pt idx="7">
                  <c:v>421</c:v>
                </c:pt>
                <c:pt idx="8">
                  <c:v>1220</c:v>
                </c:pt>
                <c:pt idx="9">
                  <c:v>514</c:v>
                </c:pt>
                <c:pt idx="10">
                  <c:v>354</c:v>
                </c:pt>
                <c:pt idx="11">
                  <c:v>318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E2A1-4C04-942D-623B47C129BD}"/>
            </c:ext>
          </c:extLst>
        </c:ser>
        <c:ser>
          <c:idx val="8"/>
          <c:order val="8"/>
          <c:tx>
            <c:strRef>
              <c:f>'employment enterprises'!$A$27</c:f>
              <c:strCache>
                <c:ptCount val="1"/>
                <c:pt idx="0">
                  <c:v>Regional Unit of Tinos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val>
            <c:numRef>
              <c:f>'employment enterprises'!$B$27:$M$27</c:f>
              <c:numCache>
                <c:formatCode>#,##0</c:formatCode>
                <c:ptCount val="12"/>
                <c:pt idx="0">
                  <c:v>61</c:v>
                </c:pt>
                <c:pt idx="1">
                  <c:v>38</c:v>
                </c:pt>
                <c:pt idx="2">
                  <c:v>378</c:v>
                </c:pt>
                <c:pt idx="3">
                  <c:v>562</c:v>
                </c:pt>
                <c:pt idx="4">
                  <c:v>460</c:v>
                </c:pt>
                <c:pt idx="5">
                  <c:v>831</c:v>
                </c:pt>
                <c:pt idx="6">
                  <c:v>723</c:v>
                </c:pt>
                <c:pt idx="7">
                  <c:v>304</c:v>
                </c:pt>
                <c:pt idx="8">
                  <c:v>272</c:v>
                </c:pt>
                <c:pt idx="9">
                  <c:v>209</c:v>
                </c:pt>
                <c:pt idx="10">
                  <c:v>97</c:v>
                </c:pt>
                <c:pt idx="11">
                  <c:v>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E2A1-4C04-942D-623B47C129BD}"/>
            </c:ext>
          </c:extLst>
        </c:ser>
        <c:axId val="115668480"/>
        <c:axId val="115670400"/>
      </c:barChart>
      <c:catAx>
        <c:axId val="1156684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US" sz="1000"/>
                </a:pPr>
                <a:r>
                  <a:rPr lang="en-US" sz="1000" b="1" i="0" baseline="0"/>
                  <a:t>Months, 2019</a:t>
                </a:r>
                <a:endParaRPr lang="el-GR" sz="1000" b="1" i="0" baseline="0"/>
              </a:p>
            </c:rich>
          </c:tx>
          <c:layout/>
        </c:title>
        <c:majorTickMark val="none"/>
        <c:tickLblPos val="nextTo"/>
        <c:txPr>
          <a:bodyPr/>
          <a:lstStyle/>
          <a:p>
            <a:pPr>
              <a:defRPr lang="en-US"/>
            </a:pPr>
            <a:endParaRPr lang="el-GR"/>
          </a:p>
        </c:txPr>
        <c:crossAx val="115670400"/>
        <c:crosses val="autoZero"/>
        <c:auto val="1"/>
        <c:lblAlgn val="ctr"/>
        <c:lblOffset val="100"/>
      </c:catAx>
      <c:valAx>
        <c:axId val="11567040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en-US" sz="1050"/>
                </a:pPr>
                <a:r>
                  <a:rPr lang="en-US" sz="1050" b="1" i="0" baseline="0"/>
                  <a:t>Emploees at enterprises</a:t>
                </a:r>
                <a:endParaRPr lang="el-GR" sz="1050" b="1" i="0" baseline="0"/>
              </a:p>
            </c:rich>
          </c:tx>
          <c:layout/>
        </c:title>
        <c:numFmt formatCode="#,##0" sourceLinked="1"/>
        <c:tickLblPos val="nextTo"/>
        <c:txPr>
          <a:bodyPr/>
          <a:lstStyle/>
          <a:p>
            <a:pPr>
              <a:defRPr lang="en-US"/>
            </a:pPr>
            <a:endParaRPr lang="el-GR"/>
          </a:p>
        </c:txPr>
        <c:crossAx val="115668480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lang="en-US"/>
          </a:pPr>
          <a:endParaRPr lang="el-GR"/>
        </a:p>
      </c:txPr>
    </c:legend>
    <c:plotVisOnly val="1"/>
    <c:dispBlanksAs val="gap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447673</xdr:colOff>
      <xdr:row>27</xdr:row>
      <xdr:rowOff>123824</xdr:rowOff>
    </xdr:from>
    <xdr:to>
      <xdr:col>6</xdr:col>
      <xdr:colOff>266700</xdr:colOff>
      <xdr:row>45</xdr:row>
      <xdr:rowOff>180975</xdr:rowOff>
    </xdr:to>
    <xdr:graphicFrame macro="">
      <xdr:nvGraphicFramePr>
        <xdr:cNvPr id="3" name="2 - Γράφημα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46</xdr:row>
      <xdr:rowOff>180975</xdr:rowOff>
    </xdr:from>
    <xdr:to>
      <xdr:col>6</xdr:col>
      <xdr:colOff>228600</xdr:colOff>
      <xdr:row>67</xdr:row>
      <xdr:rowOff>9525</xdr:rowOff>
    </xdr:to>
    <xdr:graphicFrame macro="">
      <xdr:nvGraphicFramePr>
        <xdr:cNvPr id="4" name="3 - Γράφημα">
          <a:extLst>
            <a:ext uri="{FF2B5EF4-FFF2-40B4-BE49-F238E27FC236}">
              <a16:creationId xmlns="" xmlns:a16="http://schemas.microsoft.com/office/drawing/2014/main" id="{00000000-0008-0000-07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342900</xdr:colOff>
      <xdr:row>27</xdr:row>
      <xdr:rowOff>133350</xdr:rowOff>
    </xdr:from>
    <xdr:to>
      <xdr:col>19</xdr:col>
      <xdr:colOff>590550</xdr:colOff>
      <xdr:row>50</xdr:row>
      <xdr:rowOff>142875</xdr:rowOff>
    </xdr:to>
    <xdr:graphicFrame macro="">
      <xdr:nvGraphicFramePr>
        <xdr:cNvPr id="5" name="4 - Γράφημα">
          <a:extLst>
            <a:ext uri="{FF2B5EF4-FFF2-40B4-BE49-F238E27FC236}">
              <a16:creationId xmlns="" xmlns:a16="http://schemas.microsoft.com/office/drawing/2014/main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276224</xdr:colOff>
      <xdr:row>52</xdr:row>
      <xdr:rowOff>57149</xdr:rowOff>
    </xdr:from>
    <xdr:to>
      <xdr:col>20</xdr:col>
      <xdr:colOff>419100</xdr:colOff>
      <xdr:row>73</xdr:row>
      <xdr:rowOff>133350</xdr:rowOff>
    </xdr:to>
    <xdr:graphicFrame macro="">
      <xdr:nvGraphicFramePr>
        <xdr:cNvPr id="6" name="5 - Γράφημα">
          <a:extLst>
            <a:ext uri="{FF2B5EF4-FFF2-40B4-BE49-F238E27FC236}">
              <a16:creationId xmlns="" xmlns:a16="http://schemas.microsoft.com/office/drawing/2014/main" id="{00000000-0008-0000-07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0.70501</cdr:x>
      <cdr:y>0.89728</cdr:y>
    </cdr:from>
    <cdr:to>
      <cdr:x>0.81447</cdr:x>
      <cdr:y>0.95468</cdr:y>
    </cdr:to>
    <cdr:sp macro="" textlink="">
      <cdr:nvSpPr>
        <cdr:cNvPr id="2" name="1 - TextBox"/>
        <cdr:cNvSpPr txBox="1"/>
      </cdr:nvSpPr>
      <cdr:spPr>
        <a:xfrm xmlns:a="http://schemas.openxmlformats.org/drawingml/2006/main">
          <a:off x="3619501" y="2828926"/>
          <a:ext cx="561975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l-GR" sz="1100"/>
        </a:p>
      </cdr:txBody>
    </cdr:sp>
  </cdr:relSizeAnchor>
  <cdr:relSizeAnchor xmlns:cdr="http://schemas.openxmlformats.org/drawingml/2006/chartDrawing">
    <cdr:from>
      <cdr:x>0.25974</cdr:x>
      <cdr:y>0.74243</cdr:y>
    </cdr:from>
    <cdr:to>
      <cdr:x>0.5102</cdr:x>
      <cdr:y>0.77682</cdr:y>
    </cdr:to>
    <cdr:sp macro="" textlink="">
      <cdr:nvSpPr>
        <cdr:cNvPr id="3" name="2 - TextBox"/>
        <cdr:cNvSpPr txBox="1"/>
      </cdr:nvSpPr>
      <cdr:spPr>
        <a:xfrm xmlns:a="http://schemas.openxmlformats.org/drawingml/2006/main">
          <a:off x="1333500" y="3083228"/>
          <a:ext cx="1285875" cy="1428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0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Months</a:t>
          </a:r>
          <a:r>
            <a:rPr lang="en-US" sz="1100"/>
            <a:t>, 2019</a:t>
          </a:r>
        </a:p>
        <a:p xmlns:a="http://schemas.openxmlformats.org/drawingml/2006/main">
          <a:endParaRPr lang="el-GR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SLANDS\DATABASE%20ATLAS%20130515\ELLSTAT-OTHER%20DATA\GR%20DATA%20BASE%20ATLAS\14Transport\Base\Airports%20treated%20data\&#924;&#919;&#925;&#921;&#913;&#921;&#913;%20&#913;&#917;&#929;&#927;&#923;&#921;&#924;&#917;&#925;&#937;&#925;%202009-20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9"/>
      <sheetName val="2010"/>
      <sheetName val="2011"/>
      <sheetName val="2012"/>
      <sheetName val="2013"/>
      <sheetName val="Sheet1"/>
    </sheetNames>
    <sheetDataSet>
      <sheetData sheetId="0"/>
      <sheetData sheetId="1"/>
      <sheetData sheetId="2"/>
      <sheetData sheetId="3">
        <row r="9">
          <cell r="K9">
            <v>248</v>
          </cell>
        </row>
        <row r="15">
          <cell r="K15">
            <v>9931</v>
          </cell>
          <cell r="CJ15">
            <v>155168</v>
          </cell>
        </row>
        <row r="16">
          <cell r="K16">
            <v>2266</v>
          </cell>
          <cell r="CJ16">
            <v>33870</v>
          </cell>
        </row>
        <row r="17">
          <cell r="K17">
            <v>904</v>
          </cell>
          <cell r="CJ17">
            <v>18799</v>
          </cell>
        </row>
        <row r="18">
          <cell r="K18">
            <v>4405</v>
          </cell>
          <cell r="CJ18">
            <v>72686</v>
          </cell>
        </row>
        <row r="19">
          <cell r="K19">
            <v>5820</v>
          </cell>
          <cell r="CJ19">
            <v>82004</v>
          </cell>
        </row>
        <row r="20">
          <cell r="K20">
            <v>193</v>
          </cell>
          <cell r="CJ20">
            <v>6080</v>
          </cell>
        </row>
        <row r="21">
          <cell r="K21">
            <v>487</v>
          </cell>
          <cell r="CJ21">
            <v>9028</v>
          </cell>
        </row>
        <row r="22">
          <cell r="K22">
            <v>1130</v>
          </cell>
          <cell r="CJ22">
            <v>24442</v>
          </cell>
        </row>
        <row r="23">
          <cell r="K23">
            <v>108</v>
          </cell>
          <cell r="CJ23">
            <v>1764</v>
          </cell>
        </row>
        <row r="24">
          <cell r="K24">
            <v>5735</v>
          </cell>
          <cell r="CJ24">
            <v>93412</v>
          </cell>
        </row>
        <row r="25">
          <cell r="K25">
            <v>710</v>
          </cell>
          <cell r="CJ25">
            <v>13561</v>
          </cell>
        </row>
        <row r="26">
          <cell r="CJ26">
            <v>1764</v>
          </cell>
        </row>
        <row r="27">
          <cell r="K27">
            <v>17700</v>
          </cell>
          <cell r="CJ27">
            <v>294635</v>
          </cell>
        </row>
        <row r="28">
          <cell r="K28">
            <v>3100</v>
          </cell>
          <cell r="CJ28">
            <v>166786</v>
          </cell>
        </row>
        <row r="29">
          <cell r="K29">
            <v>979</v>
          </cell>
          <cell r="CJ29">
            <v>16608</v>
          </cell>
        </row>
        <row r="30">
          <cell r="K30">
            <v>1917</v>
          </cell>
          <cell r="CJ30">
            <v>106254</v>
          </cell>
        </row>
        <row r="31">
          <cell r="K31">
            <v>500</v>
          </cell>
          <cell r="CJ31">
            <v>9982</v>
          </cell>
        </row>
        <row r="32">
          <cell r="K32">
            <v>622</v>
          </cell>
          <cell r="CJ32">
            <v>20417</v>
          </cell>
        </row>
        <row r="33">
          <cell r="K33">
            <v>319</v>
          </cell>
          <cell r="CJ33">
            <v>4818</v>
          </cell>
        </row>
      </sheetData>
      <sheetData sheetId="4"/>
      <sheetData sheetId="5">
        <row r="1">
          <cell r="Q1" t="str">
            <v>ΗΡΑΚΛΕΙΟΥ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workbookViewId="0">
      <selection sqref="A1:XFD1048576"/>
    </sheetView>
  </sheetViews>
  <sheetFormatPr defaultRowHeight="12.75"/>
  <cols>
    <col min="1" max="1" width="14.85546875" style="167" customWidth="1"/>
    <col min="2" max="2" width="9.140625" style="167"/>
    <col min="3" max="3" width="11" style="167" customWidth="1"/>
    <col min="4" max="4" width="13.85546875" style="167" customWidth="1"/>
    <col min="5" max="16384" width="9.140625" style="167"/>
  </cols>
  <sheetData>
    <row r="1" spans="1:4">
      <c r="A1" s="167" t="s">
        <v>123</v>
      </c>
    </row>
    <row r="2" spans="1:4" s="174" customFormat="1" ht="38.25">
      <c r="A2" s="169" t="s">
        <v>50</v>
      </c>
      <c r="B2" s="169" t="s">
        <v>51</v>
      </c>
      <c r="C2" s="169" t="s">
        <v>179</v>
      </c>
      <c r="D2" s="180" t="s">
        <v>290</v>
      </c>
    </row>
    <row r="3" spans="1:4">
      <c r="A3" s="181" t="s">
        <v>0</v>
      </c>
      <c r="B3" s="182">
        <v>3836</v>
      </c>
      <c r="C3" s="183">
        <v>199231</v>
      </c>
      <c r="D3" s="183">
        <v>198746</v>
      </c>
    </row>
    <row r="4" spans="1:4">
      <c r="A4" s="181" t="s">
        <v>1</v>
      </c>
      <c r="B4" s="184">
        <v>43.23</v>
      </c>
      <c r="C4" s="183">
        <v>270</v>
      </c>
      <c r="D4" s="183">
        <v>283</v>
      </c>
    </row>
    <row r="5" spans="1:4">
      <c r="A5" s="181" t="s">
        <v>2</v>
      </c>
      <c r="B5" s="184">
        <v>1630.38</v>
      </c>
      <c r="C5" s="183">
        <v>86436</v>
      </c>
      <c r="D5" s="183">
        <v>86346</v>
      </c>
    </row>
    <row r="6" spans="1:4">
      <c r="A6" s="181" t="s">
        <v>3</v>
      </c>
      <c r="B6" s="184">
        <v>475.61</v>
      </c>
      <c r="C6" s="183">
        <v>16992</v>
      </c>
      <c r="D6" s="183">
        <v>17025</v>
      </c>
    </row>
    <row r="7" spans="1:4">
      <c r="A7" s="181" t="s">
        <v>4</v>
      </c>
      <c r="B7" s="184">
        <v>255.28</v>
      </c>
      <c r="C7" s="183">
        <v>8423</v>
      </c>
      <c r="D7" s="183">
        <v>8563</v>
      </c>
    </row>
    <row r="8" spans="1:4">
      <c r="A8" s="181" t="s">
        <v>5</v>
      </c>
      <c r="B8" s="184">
        <v>30.27</v>
      </c>
      <c r="C8" s="183">
        <v>1459</v>
      </c>
      <c r="D8" s="183">
        <v>1508</v>
      </c>
    </row>
    <row r="9" spans="1:4">
      <c r="A9" s="181" t="s">
        <v>6</v>
      </c>
      <c r="B9" s="184">
        <v>476.2</v>
      </c>
      <c r="C9" s="183">
        <v>32977</v>
      </c>
      <c r="D9" s="183">
        <v>32939</v>
      </c>
    </row>
    <row r="10" spans="1:4">
      <c r="A10" s="181" t="s">
        <v>7</v>
      </c>
      <c r="B10" s="184">
        <v>841.58</v>
      </c>
      <c r="C10" s="183">
        <v>51390</v>
      </c>
      <c r="D10" s="183">
        <v>50744</v>
      </c>
    </row>
    <row r="11" spans="1:4">
      <c r="A11" s="181" t="s">
        <v>8</v>
      </c>
      <c r="B11" s="184">
        <v>14.2</v>
      </c>
      <c r="C11" s="183">
        <v>826</v>
      </c>
      <c r="D11" s="183">
        <v>832</v>
      </c>
    </row>
    <row r="12" spans="1:4">
      <c r="A12" s="181" t="s">
        <v>9</v>
      </c>
      <c r="B12" s="184">
        <v>39.770000000000003</v>
      </c>
      <c r="C12" s="183">
        <v>458</v>
      </c>
      <c r="D12" s="183">
        <v>477</v>
      </c>
    </row>
    <row r="13" spans="1:4">
      <c r="A13" s="181" t="s">
        <v>10</v>
      </c>
      <c r="B13" s="182">
        <v>5286</v>
      </c>
      <c r="C13" s="183">
        <v>308975</v>
      </c>
      <c r="D13" s="183">
        <v>294042</v>
      </c>
    </row>
    <row r="14" spans="1:4">
      <c r="A14" s="181" t="s">
        <v>11</v>
      </c>
      <c r="B14" s="184">
        <v>13.5</v>
      </c>
      <c r="C14" s="183">
        <v>185</v>
      </c>
      <c r="D14" s="183">
        <v>189</v>
      </c>
    </row>
    <row r="15" spans="1:4">
      <c r="A15" s="181" t="s">
        <v>12</v>
      </c>
      <c r="B15" s="184">
        <v>96.85</v>
      </c>
      <c r="C15" s="183">
        <v>1334</v>
      </c>
      <c r="D15" s="183">
        <v>1321</v>
      </c>
    </row>
    <row r="16" spans="1:4">
      <c r="A16" s="181" t="s">
        <v>13</v>
      </c>
      <c r="B16" s="184">
        <v>110.88</v>
      </c>
      <c r="C16" s="183">
        <v>16179</v>
      </c>
      <c r="D16" s="183">
        <v>15411</v>
      </c>
    </row>
    <row r="17" spans="1:4">
      <c r="A17" s="181" t="s">
        <v>14</v>
      </c>
      <c r="B17" s="184">
        <v>301.18</v>
      </c>
      <c r="C17" s="183">
        <v>6226</v>
      </c>
      <c r="D17" s="183">
        <v>6278</v>
      </c>
    </row>
    <row r="18" spans="1:4">
      <c r="A18" s="181" t="s">
        <v>15</v>
      </c>
      <c r="B18" s="184">
        <v>65.98</v>
      </c>
      <c r="C18" s="183">
        <v>1084</v>
      </c>
      <c r="D18" s="183">
        <v>1105</v>
      </c>
    </row>
    <row r="19" spans="1:4">
      <c r="A19" s="181" t="s">
        <v>16</v>
      </c>
      <c r="B19" s="184">
        <v>290.27999999999997</v>
      </c>
      <c r="C19" s="183">
        <v>33388</v>
      </c>
      <c r="D19" s="183">
        <v>30797</v>
      </c>
    </row>
    <row r="20" spans="1:4">
      <c r="A20" s="181" t="s">
        <v>17</v>
      </c>
      <c r="B20" s="184">
        <v>15.98</v>
      </c>
      <c r="C20" s="183">
        <v>790</v>
      </c>
      <c r="D20" s="183">
        <v>782</v>
      </c>
    </row>
    <row r="21" spans="1:4">
      <c r="A21" s="181" t="s">
        <v>18</v>
      </c>
      <c r="B21" s="184">
        <v>52.95</v>
      </c>
      <c r="C21" s="183">
        <v>7917</v>
      </c>
      <c r="D21" s="183">
        <v>7834</v>
      </c>
    </row>
    <row r="22" spans="1:4">
      <c r="A22" s="181" t="s">
        <v>19</v>
      </c>
      <c r="B22" s="184">
        <v>9.1300000000000008</v>
      </c>
      <c r="C22" s="183">
        <v>492</v>
      </c>
      <c r="D22" s="183">
        <v>460</v>
      </c>
    </row>
    <row r="23" spans="1:4">
      <c r="A23" s="181" t="s">
        <v>20</v>
      </c>
      <c r="B23" s="184">
        <v>41.4</v>
      </c>
      <c r="C23" s="183">
        <v>1008</v>
      </c>
      <c r="D23" s="183">
        <v>992</v>
      </c>
    </row>
    <row r="24" spans="1:4">
      <c r="A24" s="181" t="s">
        <v>21</v>
      </c>
      <c r="B24" s="184">
        <v>34.049999999999997</v>
      </c>
      <c r="C24" s="183">
        <v>3047</v>
      </c>
      <c r="D24" s="183">
        <v>2966</v>
      </c>
    </row>
    <row r="25" spans="1:4">
      <c r="A25" s="181" t="s">
        <v>22</v>
      </c>
      <c r="B25" s="184">
        <v>1398.08</v>
      </c>
      <c r="C25" s="183">
        <v>115490</v>
      </c>
      <c r="D25" s="183">
        <v>108314</v>
      </c>
    </row>
    <row r="26" spans="1:4">
      <c r="A26" s="181" t="s">
        <v>23</v>
      </c>
      <c r="B26" s="184">
        <v>58.1</v>
      </c>
      <c r="C26" s="183">
        <v>2590</v>
      </c>
      <c r="D26" s="183">
        <v>2536</v>
      </c>
    </row>
    <row r="27" spans="1:4">
      <c r="A27" s="181" t="s">
        <v>24</v>
      </c>
      <c r="B27" s="184">
        <v>62.83</v>
      </c>
      <c r="C27" s="183">
        <v>780</v>
      </c>
      <c r="D27" s="183">
        <v>773</v>
      </c>
    </row>
    <row r="28" spans="1:4">
      <c r="A28" s="181" t="s">
        <v>25</v>
      </c>
      <c r="B28" s="184">
        <v>28.13</v>
      </c>
      <c r="C28" s="183">
        <v>478</v>
      </c>
      <c r="D28" s="183">
        <v>459</v>
      </c>
    </row>
    <row r="29" spans="1:4">
      <c r="A29" s="181" t="s">
        <v>26</v>
      </c>
      <c r="B29" s="184">
        <v>120.67</v>
      </c>
      <c r="C29" s="183">
        <v>1973</v>
      </c>
      <c r="D29" s="183">
        <v>1955</v>
      </c>
    </row>
    <row r="30" spans="1:4">
      <c r="A30" s="181" t="s">
        <v>27</v>
      </c>
      <c r="B30" s="184">
        <v>38.35</v>
      </c>
      <c r="C30" s="183">
        <v>271</v>
      </c>
      <c r="D30" s="183">
        <v>290</v>
      </c>
    </row>
    <row r="31" spans="1:4">
      <c r="A31" s="181" t="s">
        <v>28</v>
      </c>
      <c r="B31" s="184">
        <v>379.67</v>
      </c>
      <c r="C31" s="183">
        <v>9221</v>
      </c>
      <c r="D31" s="183">
        <v>9246</v>
      </c>
    </row>
    <row r="32" spans="1:4">
      <c r="A32" s="181" t="s">
        <v>29</v>
      </c>
      <c r="B32" s="184">
        <v>34.83</v>
      </c>
      <c r="C32" s="183">
        <v>1211</v>
      </c>
      <c r="D32" s="183">
        <v>1142</v>
      </c>
    </row>
    <row r="33" spans="1:4">
      <c r="A33" s="181" t="s">
        <v>30</v>
      </c>
      <c r="B33" s="184">
        <v>13.48</v>
      </c>
      <c r="C33" s="183">
        <v>167</v>
      </c>
      <c r="D33" s="183">
        <v>168</v>
      </c>
    </row>
    <row r="34" spans="1:4">
      <c r="A34" s="181" t="s">
        <v>31</v>
      </c>
      <c r="B34" s="184">
        <v>17.600000000000001</v>
      </c>
      <c r="C34" s="183">
        <v>141</v>
      </c>
      <c r="D34" s="183">
        <v>150</v>
      </c>
    </row>
    <row r="35" spans="1:4">
      <c r="A35" s="181" t="s">
        <v>32</v>
      </c>
      <c r="B35" s="184">
        <v>75.790000000000006</v>
      </c>
      <c r="C35" s="183">
        <v>15231</v>
      </c>
      <c r="D35" s="183">
        <v>13765</v>
      </c>
    </row>
    <row r="36" spans="1:4">
      <c r="A36" s="181" t="s">
        <v>33</v>
      </c>
      <c r="B36" s="184">
        <v>9.3000000000000007</v>
      </c>
      <c r="C36" s="183">
        <v>319</v>
      </c>
      <c r="D36" s="183">
        <v>319</v>
      </c>
    </row>
    <row r="37" spans="1:4">
      <c r="A37" s="181" t="s">
        <v>34</v>
      </c>
      <c r="B37" s="184">
        <v>107.8</v>
      </c>
      <c r="C37" s="183">
        <v>2024</v>
      </c>
      <c r="D37" s="183">
        <v>1953</v>
      </c>
    </row>
    <row r="38" spans="1:4">
      <c r="A38" s="181" t="s">
        <v>35</v>
      </c>
      <c r="B38" s="184">
        <v>103.58</v>
      </c>
      <c r="C38" s="183">
        <v>2455</v>
      </c>
      <c r="D38" s="183">
        <v>2345</v>
      </c>
    </row>
    <row r="39" spans="1:4">
      <c r="A39" s="181" t="s">
        <v>36</v>
      </c>
      <c r="B39" s="184">
        <v>35.71</v>
      </c>
      <c r="C39" s="183">
        <v>910</v>
      </c>
      <c r="D39" s="183">
        <v>971</v>
      </c>
    </row>
    <row r="40" spans="1:4">
      <c r="A40" s="181" t="s">
        <v>37</v>
      </c>
      <c r="B40" s="184">
        <v>5.7</v>
      </c>
      <c r="C40" s="183">
        <v>399</v>
      </c>
      <c r="D40" s="183">
        <v>398</v>
      </c>
    </row>
    <row r="41" spans="1:4">
      <c r="A41" s="181" t="s">
        <v>38</v>
      </c>
      <c r="B41" s="184">
        <v>99.26</v>
      </c>
      <c r="C41" s="183">
        <v>1456</v>
      </c>
      <c r="D41" s="183">
        <v>1469</v>
      </c>
    </row>
    <row r="42" spans="1:4">
      <c r="A42" s="181" t="s">
        <v>39</v>
      </c>
      <c r="B42" s="184">
        <v>150.6</v>
      </c>
      <c r="C42" s="183">
        <v>4977</v>
      </c>
      <c r="D42" s="183">
        <v>5014</v>
      </c>
    </row>
    <row r="43" spans="1:4">
      <c r="A43" s="181" t="s">
        <v>40</v>
      </c>
      <c r="B43" s="184">
        <v>85.48</v>
      </c>
      <c r="C43" s="183">
        <v>10134</v>
      </c>
      <c r="D43" s="183">
        <v>9074</v>
      </c>
    </row>
    <row r="44" spans="1:4">
      <c r="A44" s="181" t="s">
        <v>41</v>
      </c>
      <c r="B44" s="184">
        <v>428.13</v>
      </c>
      <c r="C44" s="183">
        <v>17930</v>
      </c>
      <c r="D44" s="183">
        <v>17233</v>
      </c>
    </row>
    <row r="45" spans="1:4">
      <c r="A45" s="181" t="s">
        <v>42</v>
      </c>
      <c r="B45" s="184">
        <v>194.52</v>
      </c>
      <c r="C45" s="183">
        <v>13715</v>
      </c>
      <c r="D45" s="183">
        <v>13218</v>
      </c>
    </row>
    <row r="46" spans="1:4">
      <c r="A46" s="181" t="s">
        <v>43</v>
      </c>
      <c r="B46" s="184">
        <v>73.23</v>
      </c>
      <c r="C46" s="183">
        <v>1420</v>
      </c>
      <c r="D46" s="183">
        <v>1465</v>
      </c>
    </row>
    <row r="47" spans="1:4">
      <c r="A47" s="181" t="s">
        <v>44</v>
      </c>
      <c r="B47" s="184">
        <v>7.78</v>
      </c>
      <c r="C47" s="183">
        <v>227</v>
      </c>
      <c r="D47" s="183">
        <v>226</v>
      </c>
    </row>
    <row r="48" spans="1:4">
      <c r="A48" s="181" t="s">
        <v>45</v>
      </c>
      <c r="B48" s="184">
        <v>41.03</v>
      </c>
      <c r="C48" s="183">
        <v>273</v>
      </c>
      <c r="D48" s="183">
        <v>288</v>
      </c>
    </row>
    <row r="49" spans="1:4">
      <c r="A49" s="181" t="s">
        <v>46</v>
      </c>
      <c r="B49" s="184">
        <v>73.180000000000007</v>
      </c>
      <c r="C49" s="183">
        <v>2625</v>
      </c>
      <c r="D49" s="183">
        <v>2576</v>
      </c>
    </row>
    <row r="50" spans="1:4">
      <c r="A50" s="181" t="s">
        <v>47</v>
      </c>
      <c r="B50" s="184">
        <v>83.63</v>
      </c>
      <c r="C50" s="183">
        <v>21507</v>
      </c>
      <c r="D50" s="183">
        <v>21669</v>
      </c>
    </row>
    <row r="51" spans="1:4">
      <c r="A51" s="181" t="s">
        <v>48</v>
      </c>
      <c r="B51" s="184">
        <v>194.21</v>
      </c>
      <c r="C51" s="183">
        <v>8636</v>
      </c>
      <c r="D51" s="183">
        <v>8684</v>
      </c>
    </row>
    <row r="52" spans="1:4">
      <c r="A52" s="181" t="s">
        <v>49</v>
      </c>
      <c r="B52" s="184">
        <v>32.07</v>
      </c>
      <c r="C52" s="183">
        <v>765</v>
      </c>
      <c r="D52" s="183">
        <v>788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126"/>
  <sheetViews>
    <sheetView tabSelected="1" workbookViewId="0">
      <selection activeCell="E59" sqref="E59"/>
    </sheetView>
  </sheetViews>
  <sheetFormatPr defaultColWidth="9.140625" defaultRowHeight="12.75"/>
  <cols>
    <col min="1" max="1" width="20.7109375" style="18" customWidth="1"/>
    <col min="2" max="2" width="10.140625" style="48" customWidth="1"/>
    <col min="3" max="3" width="13.42578125" style="48" customWidth="1"/>
    <col min="4" max="4" width="10.5703125" style="48" customWidth="1"/>
    <col min="5" max="5" width="10.85546875" style="48" customWidth="1"/>
    <col min="6" max="6" width="8.42578125" style="48" customWidth="1"/>
    <col min="7" max="7" width="7.7109375" style="48" customWidth="1"/>
    <col min="8" max="8" width="8.85546875" style="48" customWidth="1"/>
    <col min="9" max="9" width="8.28515625" style="48" customWidth="1"/>
    <col min="10" max="10" width="8.7109375" style="48" customWidth="1"/>
    <col min="11" max="11" width="18.42578125" style="48" customWidth="1"/>
    <col min="12" max="12" width="27" style="48" customWidth="1"/>
    <col min="13" max="14" width="8.140625" style="48" customWidth="1"/>
    <col min="15" max="15" width="7.5703125" style="48" customWidth="1"/>
    <col min="16" max="16" width="10.7109375" style="48" customWidth="1"/>
    <col min="17" max="17" width="8.7109375" style="48" customWidth="1"/>
    <col min="18" max="18" width="8.140625" style="48" customWidth="1"/>
    <col min="19" max="19" width="10.85546875" style="49" customWidth="1"/>
    <col min="20" max="20" width="24" style="18" customWidth="1"/>
    <col min="21" max="25" width="9.140625" style="17"/>
    <col min="26" max="253" width="9.140625" style="18"/>
    <col min="254" max="254" width="20.7109375" style="18" customWidth="1"/>
    <col min="255" max="255" width="9.28515625" style="18" customWidth="1"/>
    <col min="256" max="256" width="12.7109375" style="18" customWidth="1"/>
    <col min="257" max="257" width="10" style="18" customWidth="1"/>
    <col min="258" max="258" width="8.5703125" style="18" bestFit="1" customWidth="1"/>
    <col min="259" max="260" width="9.5703125" style="18" customWidth="1"/>
    <col min="261" max="261" width="10.28515625" style="18" customWidth="1"/>
    <col min="262" max="262" width="10" style="18" customWidth="1"/>
    <col min="263" max="263" width="10.28515625" style="18" customWidth="1"/>
    <col min="264" max="264" width="9" style="18" bestFit="1" customWidth="1"/>
    <col min="265" max="266" width="10.28515625" style="18" customWidth="1"/>
    <col min="267" max="267" width="9.5703125" style="18" customWidth="1"/>
    <col min="268" max="268" width="9" style="18" bestFit="1" customWidth="1"/>
    <col min="269" max="270" width="9.5703125" style="18" customWidth="1"/>
    <col min="271" max="271" width="21.140625" style="18" customWidth="1"/>
    <col min="272" max="274" width="9.5703125" style="18" customWidth="1"/>
    <col min="275" max="275" width="1" style="18" customWidth="1"/>
    <col min="276" max="276" width="24" style="18" customWidth="1"/>
    <col min="277" max="509" width="9.140625" style="18"/>
    <col min="510" max="510" width="20.7109375" style="18" customWidth="1"/>
    <col min="511" max="511" width="9.28515625" style="18" customWidth="1"/>
    <col min="512" max="512" width="12.7109375" style="18" customWidth="1"/>
    <col min="513" max="513" width="10" style="18" customWidth="1"/>
    <col min="514" max="514" width="8.5703125" style="18" bestFit="1" customWidth="1"/>
    <col min="515" max="516" width="9.5703125" style="18" customWidth="1"/>
    <col min="517" max="517" width="10.28515625" style="18" customWidth="1"/>
    <col min="518" max="518" width="10" style="18" customWidth="1"/>
    <col min="519" max="519" width="10.28515625" style="18" customWidth="1"/>
    <col min="520" max="520" width="9" style="18" bestFit="1" customWidth="1"/>
    <col min="521" max="522" width="10.28515625" style="18" customWidth="1"/>
    <col min="523" max="523" width="9.5703125" style="18" customWidth="1"/>
    <col min="524" max="524" width="9" style="18" bestFit="1" customWidth="1"/>
    <col min="525" max="526" width="9.5703125" style="18" customWidth="1"/>
    <col min="527" max="527" width="21.140625" style="18" customWidth="1"/>
    <col min="528" max="530" width="9.5703125" style="18" customWidth="1"/>
    <col min="531" max="531" width="1" style="18" customWidth="1"/>
    <col min="532" max="532" width="24" style="18" customWidth="1"/>
    <col min="533" max="765" width="9.140625" style="18"/>
    <col min="766" max="766" width="20.7109375" style="18" customWidth="1"/>
    <col min="767" max="767" width="9.28515625" style="18" customWidth="1"/>
    <col min="768" max="768" width="12.7109375" style="18" customWidth="1"/>
    <col min="769" max="769" width="10" style="18" customWidth="1"/>
    <col min="770" max="770" width="8.5703125" style="18" bestFit="1" customWidth="1"/>
    <col min="771" max="772" width="9.5703125" style="18" customWidth="1"/>
    <col min="773" max="773" width="10.28515625" style="18" customWidth="1"/>
    <col min="774" max="774" width="10" style="18" customWidth="1"/>
    <col min="775" max="775" width="10.28515625" style="18" customWidth="1"/>
    <col min="776" max="776" width="9" style="18" bestFit="1" customWidth="1"/>
    <col min="777" max="778" width="10.28515625" style="18" customWidth="1"/>
    <col min="779" max="779" width="9.5703125" style="18" customWidth="1"/>
    <col min="780" max="780" width="9" style="18" bestFit="1" customWidth="1"/>
    <col min="781" max="782" width="9.5703125" style="18" customWidth="1"/>
    <col min="783" max="783" width="21.140625" style="18" customWidth="1"/>
    <col min="784" max="786" width="9.5703125" style="18" customWidth="1"/>
    <col min="787" max="787" width="1" style="18" customWidth="1"/>
    <col min="788" max="788" width="24" style="18" customWidth="1"/>
    <col min="789" max="1021" width="9.140625" style="18"/>
    <col min="1022" max="1022" width="20.7109375" style="18" customWidth="1"/>
    <col min="1023" max="1023" width="9.28515625" style="18" customWidth="1"/>
    <col min="1024" max="1024" width="12.7109375" style="18" customWidth="1"/>
    <col min="1025" max="1025" width="10" style="18" customWidth="1"/>
    <col min="1026" max="1026" width="8.5703125" style="18" bestFit="1" customWidth="1"/>
    <col min="1027" max="1028" width="9.5703125" style="18" customWidth="1"/>
    <col min="1029" max="1029" width="10.28515625" style="18" customWidth="1"/>
    <col min="1030" max="1030" width="10" style="18" customWidth="1"/>
    <col min="1031" max="1031" width="10.28515625" style="18" customWidth="1"/>
    <col min="1032" max="1032" width="9" style="18" bestFit="1" customWidth="1"/>
    <col min="1033" max="1034" width="10.28515625" style="18" customWidth="1"/>
    <col min="1035" max="1035" width="9.5703125" style="18" customWidth="1"/>
    <col min="1036" max="1036" width="9" style="18" bestFit="1" customWidth="1"/>
    <col min="1037" max="1038" width="9.5703125" style="18" customWidth="1"/>
    <col min="1039" max="1039" width="21.140625" style="18" customWidth="1"/>
    <col min="1040" max="1042" width="9.5703125" style="18" customWidth="1"/>
    <col min="1043" max="1043" width="1" style="18" customWidth="1"/>
    <col min="1044" max="1044" width="24" style="18" customWidth="1"/>
    <col min="1045" max="1277" width="9.140625" style="18"/>
    <col min="1278" max="1278" width="20.7109375" style="18" customWidth="1"/>
    <col min="1279" max="1279" width="9.28515625" style="18" customWidth="1"/>
    <col min="1280" max="1280" width="12.7109375" style="18" customWidth="1"/>
    <col min="1281" max="1281" width="10" style="18" customWidth="1"/>
    <col min="1282" max="1282" width="8.5703125" style="18" bestFit="1" customWidth="1"/>
    <col min="1283" max="1284" width="9.5703125" style="18" customWidth="1"/>
    <col min="1285" max="1285" width="10.28515625" style="18" customWidth="1"/>
    <col min="1286" max="1286" width="10" style="18" customWidth="1"/>
    <col min="1287" max="1287" width="10.28515625" style="18" customWidth="1"/>
    <col min="1288" max="1288" width="9" style="18" bestFit="1" customWidth="1"/>
    <col min="1289" max="1290" width="10.28515625" style="18" customWidth="1"/>
    <col min="1291" max="1291" width="9.5703125" style="18" customWidth="1"/>
    <col min="1292" max="1292" width="9" style="18" bestFit="1" customWidth="1"/>
    <col min="1293" max="1294" width="9.5703125" style="18" customWidth="1"/>
    <col min="1295" max="1295" width="21.140625" style="18" customWidth="1"/>
    <col min="1296" max="1298" width="9.5703125" style="18" customWidth="1"/>
    <col min="1299" max="1299" width="1" style="18" customWidth="1"/>
    <col min="1300" max="1300" width="24" style="18" customWidth="1"/>
    <col min="1301" max="1533" width="9.140625" style="18"/>
    <col min="1534" max="1534" width="20.7109375" style="18" customWidth="1"/>
    <col min="1535" max="1535" width="9.28515625" style="18" customWidth="1"/>
    <col min="1536" max="1536" width="12.7109375" style="18" customWidth="1"/>
    <col min="1537" max="1537" width="10" style="18" customWidth="1"/>
    <col min="1538" max="1538" width="8.5703125" style="18" bestFit="1" customWidth="1"/>
    <col min="1539" max="1540" width="9.5703125" style="18" customWidth="1"/>
    <col min="1541" max="1541" width="10.28515625" style="18" customWidth="1"/>
    <col min="1542" max="1542" width="10" style="18" customWidth="1"/>
    <col min="1543" max="1543" width="10.28515625" style="18" customWidth="1"/>
    <col min="1544" max="1544" width="9" style="18" bestFit="1" customWidth="1"/>
    <col min="1545" max="1546" width="10.28515625" style="18" customWidth="1"/>
    <col min="1547" max="1547" width="9.5703125" style="18" customWidth="1"/>
    <col min="1548" max="1548" width="9" style="18" bestFit="1" customWidth="1"/>
    <col min="1549" max="1550" width="9.5703125" style="18" customWidth="1"/>
    <col min="1551" max="1551" width="21.140625" style="18" customWidth="1"/>
    <col min="1552" max="1554" width="9.5703125" style="18" customWidth="1"/>
    <col min="1555" max="1555" width="1" style="18" customWidth="1"/>
    <col min="1556" max="1556" width="24" style="18" customWidth="1"/>
    <col min="1557" max="1789" width="9.140625" style="18"/>
    <col min="1790" max="1790" width="20.7109375" style="18" customWidth="1"/>
    <col min="1791" max="1791" width="9.28515625" style="18" customWidth="1"/>
    <col min="1792" max="1792" width="12.7109375" style="18" customWidth="1"/>
    <col min="1793" max="1793" width="10" style="18" customWidth="1"/>
    <col min="1794" max="1794" width="8.5703125" style="18" bestFit="1" customWidth="1"/>
    <col min="1795" max="1796" width="9.5703125" style="18" customWidth="1"/>
    <col min="1797" max="1797" width="10.28515625" style="18" customWidth="1"/>
    <col min="1798" max="1798" width="10" style="18" customWidth="1"/>
    <col min="1799" max="1799" width="10.28515625" style="18" customWidth="1"/>
    <col min="1800" max="1800" width="9" style="18" bestFit="1" customWidth="1"/>
    <col min="1801" max="1802" width="10.28515625" style="18" customWidth="1"/>
    <col min="1803" max="1803" width="9.5703125" style="18" customWidth="1"/>
    <col min="1804" max="1804" width="9" style="18" bestFit="1" customWidth="1"/>
    <col min="1805" max="1806" width="9.5703125" style="18" customWidth="1"/>
    <col min="1807" max="1807" width="21.140625" style="18" customWidth="1"/>
    <col min="1808" max="1810" width="9.5703125" style="18" customWidth="1"/>
    <col min="1811" max="1811" width="1" style="18" customWidth="1"/>
    <col min="1812" max="1812" width="24" style="18" customWidth="1"/>
    <col min="1813" max="2045" width="9.140625" style="18"/>
    <col min="2046" max="2046" width="20.7109375" style="18" customWidth="1"/>
    <col min="2047" max="2047" width="9.28515625" style="18" customWidth="1"/>
    <col min="2048" max="2048" width="12.7109375" style="18" customWidth="1"/>
    <col min="2049" max="2049" width="10" style="18" customWidth="1"/>
    <col min="2050" max="2050" width="8.5703125" style="18" bestFit="1" customWidth="1"/>
    <col min="2051" max="2052" width="9.5703125" style="18" customWidth="1"/>
    <col min="2053" max="2053" width="10.28515625" style="18" customWidth="1"/>
    <col min="2054" max="2054" width="10" style="18" customWidth="1"/>
    <col min="2055" max="2055" width="10.28515625" style="18" customWidth="1"/>
    <col min="2056" max="2056" width="9" style="18" bestFit="1" customWidth="1"/>
    <col min="2057" max="2058" width="10.28515625" style="18" customWidth="1"/>
    <col min="2059" max="2059" width="9.5703125" style="18" customWidth="1"/>
    <col min="2060" max="2060" width="9" style="18" bestFit="1" customWidth="1"/>
    <col min="2061" max="2062" width="9.5703125" style="18" customWidth="1"/>
    <col min="2063" max="2063" width="21.140625" style="18" customWidth="1"/>
    <col min="2064" max="2066" width="9.5703125" style="18" customWidth="1"/>
    <col min="2067" max="2067" width="1" style="18" customWidth="1"/>
    <col min="2068" max="2068" width="24" style="18" customWidth="1"/>
    <col min="2069" max="2301" width="9.140625" style="18"/>
    <col min="2302" max="2302" width="20.7109375" style="18" customWidth="1"/>
    <col min="2303" max="2303" width="9.28515625" style="18" customWidth="1"/>
    <col min="2304" max="2304" width="12.7109375" style="18" customWidth="1"/>
    <col min="2305" max="2305" width="10" style="18" customWidth="1"/>
    <col min="2306" max="2306" width="8.5703125" style="18" bestFit="1" customWidth="1"/>
    <col min="2307" max="2308" width="9.5703125" style="18" customWidth="1"/>
    <col min="2309" max="2309" width="10.28515625" style="18" customWidth="1"/>
    <col min="2310" max="2310" width="10" style="18" customWidth="1"/>
    <col min="2311" max="2311" width="10.28515625" style="18" customWidth="1"/>
    <col min="2312" max="2312" width="9" style="18" bestFit="1" customWidth="1"/>
    <col min="2313" max="2314" width="10.28515625" style="18" customWidth="1"/>
    <col min="2315" max="2315" width="9.5703125" style="18" customWidth="1"/>
    <col min="2316" max="2316" width="9" style="18" bestFit="1" customWidth="1"/>
    <col min="2317" max="2318" width="9.5703125" style="18" customWidth="1"/>
    <col min="2319" max="2319" width="21.140625" style="18" customWidth="1"/>
    <col min="2320" max="2322" width="9.5703125" style="18" customWidth="1"/>
    <col min="2323" max="2323" width="1" style="18" customWidth="1"/>
    <col min="2324" max="2324" width="24" style="18" customWidth="1"/>
    <col min="2325" max="2557" width="9.140625" style="18"/>
    <col min="2558" max="2558" width="20.7109375" style="18" customWidth="1"/>
    <col min="2559" max="2559" width="9.28515625" style="18" customWidth="1"/>
    <col min="2560" max="2560" width="12.7109375" style="18" customWidth="1"/>
    <col min="2561" max="2561" width="10" style="18" customWidth="1"/>
    <col min="2562" max="2562" width="8.5703125" style="18" bestFit="1" customWidth="1"/>
    <col min="2563" max="2564" width="9.5703125" style="18" customWidth="1"/>
    <col min="2565" max="2565" width="10.28515625" style="18" customWidth="1"/>
    <col min="2566" max="2566" width="10" style="18" customWidth="1"/>
    <col min="2567" max="2567" width="10.28515625" style="18" customWidth="1"/>
    <col min="2568" max="2568" width="9" style="18" bestFit="1" customWidth="1"/>
    <col min="2569" max="2570" width="10.28515625" style="18" customWidth="1"/>
    <col min="2571" max="2571" width="9.5703125" style="18" customWidth="1"/>
    <col min="2572" max="2572" width="9" style="18" bestFit="1" customWidth="1"/>
    <col min="2573" max="2574" width="9.5703125" style="18" customWidth="1"/>
    <col min="2575" max="2575" width="21.140625" style="18" customWidth="1"/>
    <col min="2576" max="2578" width="9.5703125" style="18" customWidth="1"/>
    <col min="2579" max="2579" width="1" style="18" customWidth="1"/>
    <col min="2580" max="2580" width="24" style="18" customWidth="1"/>
    <col min="2581" max="2813" width="9.140625" style="18"/>
    <col min="2814" max="2814" width="20.7109375" style="18" customWidth="1"/>
    <col min="2815" max="2815" width="9.28515625" style="18" customWidth="1"/>
    <col min="2816" max="2816" width="12.7109375" style="18" customWidth="1"/>
    <col min="2817" max="2817" width="10" style="18" customWidth="1"/>
    <col min="2818" max="2818" width="8.5703125" style="18" bestFit="1" customWidth="1"/>
    <col min="2819" max="2820" width="9.5703125" style="18" customWidth="1"/>
    <col min="2821" max="2821" width="10.28515625" style="18" customWidth="1"/>
    <col min="2822" max="2822" width="10" style="18" customWidth="1"/>
    <col min="2823" max="2823" width="10.28515625" style="18" customWidth="1"/>
    <col min="2824" max="2824" width="9" style="18" bestFit="1" customWidth="1"/>
    <col min="2825" max="2826" width="10.28515625" style="18" customWidth="1"/>
    <col min="2827" max="2827" width="9.5703125" style="18" customWidth="1"/>
    <col min="2828" max="2828" width="9" style="18" bestFit="1" customWidth="1"/>
    <col min="2829" max="2830" width="9.5703125" style="18" customWidth="1"/>
    <col min="2831" max="2831" width="21.140625" style="18" customWidth="1"/>
    <col min="2832" max="2834" width="9.5703125" style="18" customWidth="1"/>
    <col min="2835" max="2835" width="1" style="18" customWidth="1"/>
    <col min="2836" max="2836" width="24" style="18" customWidth="1"/>
    <col min="2837" max="3069" width="9.140625" style="18"/>
    <col min="3070" max="3070" width="20.7109375" style="18" customWidth="1"/>
    <col min="3071" max="3071" width="9.28515625" style="18" customWidth="1"/>
    <col min="3072" max="3072" width="12.7109375" style="18" customWidth="1"/>
    <col min="3073" max="3073" width="10" style="18" customWidth="1"/>
    <col min="3074" max="3074" width="8.5703125" style="18" bestFit="1" customWidth="1"/>
    <col min="3075" max="3076" width="9.5703125" style="18" customWidth="1"/>
    <col min="3077" max="3077" width="10.28515625" style="18" customWidth="1"/>
    <col min="3078" max="3078" width="10" style="18" customWidth="1"/>
    <col min="3079" max="3079" width="10.28515625" style="18" customWidth="1"/>
    <col min="3080" max="3080" width="9" style="18" bestFit="1" customWidth="1"/>
    <col min="3081" max="3082" width="10.28515625" style="18" customWidth="1"/>
    <col min="3083" max="3083" width="9.5703125" style="18" customWidth="1"/>
    <col min="3084" max="3084" width="9" style="18" bestFit="1" customWidth="1"/>
    <col min="3085" max="3086" width="9.5703125" style="18" customWidth="1"/>
    <col min="3087" max="3087" width="21.140625" style="18" customWidth="1"/>
    <col min="3088" max="3090" width="9.5703125" style="18" customWidth="1"/>
    <col min="3091" max="3091" width="1" style="18" customWidth="1"/>
    <col min="3092" max="3092" width="24" style="18" customWidth="1"/>
    <col min="3093" max="3325" width="9.140625" style="18"/>
    <col min="3326" max="3326" width="20.7109375" style="18" customWidth="1"/>
    <col min="3327" max="3327" width="9.28515625" style="18" customWidth="1"/>
    <col min="3328" max="3328" width="12.7109375" style="18" customWidth="1"/>
    <col min="3329" max="3329" width="10" style="18" customWidth="1"/>
    <col min="3330" max="3330" width="8.5703125" style="18" bestFit="1" customWidth="1"/>
    <col min="3331" max="3332" width="9.5703125" style="18" customWidth="1"/>
    <col min="3333" max="3333" width="10.28515625" style="18" customWidth="1"/>
    <col min="3334" max="3334" width="10" style="18" customWidth="1"/>
    <col min="3335" max="3335" width="10.28515625" style="18" customWidth="1"/>
    <col min="3336" max="3336" width="9" style="18" bestFit="1" customWidth="1"/>
    <col min="3337" max="3338" width="10.28515625" style="18" customWidth="1"/>
    <col min="3339" max="3339" width="9.5703125" style="18" customWidth="1"/>
    <col min="3340" max="3340" width="9" style="18" bestFit="1" customWidth="1"/>
    <col min="3341" max="3342" width="9.5703125" style="18" customWidth="1"/>
    <col min="3343" max="3343" width="21.140625" style="18" customWidth="1"/>
    <col min="3344" max="3346" width="9.5703125" style="18" customWidth="1"/>
    <col min="3347" max="3347" width="1" style="18" customWidth="1"/>
    <col min="3348" max="3348" width="24" style="18" customWidth="1"/>
    <col min="3349" max="3581" width="9.140625" style="18"/>
    <col min="3582" max="3582" width="20.7109375" style="18" customWidth="1"/>
    <col min="3583" max="3583" width="9.28515625" style="18" customWidth="1"/>
    <col min="3584" max="3584" width="12.7109375" style="18" customWidth="1"/>
    <col min="3585" max="3585" width="10" style="18" customWidth="1"/>
    <col min="3586" max="3586" width="8.5703125" style="18" bestFit="1" customWidth="1"/>
    <col min="3587" max="3588" width="9.5703125" style="18" customWidth="1"/>
    <col min="3589" max="3589" width="10.28515625" style="18" customWidth="1"/>
    <col min="3590" max="3590" width="10" style="18" customWidth="1"/>
    <col min="3591" max="3591" width="10.28515625" style="18" customWidth="1"/>
    <col min="3592" max="3592" width="9" style="18" bestFit="1" customWidth="1"/>
    <col min="3593" max="3594" width="10.28515625" style="18" customWidth="1"/>
    <col min="3595" max="3595" width="9.5703125" style="18" customWidth="1"/>
    <col min="3596" max="3596" width="9" style="18" bestFit="1" customWidth="1"/>
    <col min="3597" max="3598" width="9.5703125" style="18" customWidth="1"/>
    <col min="3599" max="3599" width="21.140625" style="18" customWidth="1"/>
    <col min="3600" max="3602" width="9.5703125" style="18" customWidth="1"/>
    <col min="3603" max="3603" width="1" style="18" customWidth="1"/>
    <col min="3604" max="3604" width="24" style="18" customWidth="1"/>
    <col min="3605" max="3837" width="9.140625" style="18"/>
    <col min="3838" max="3838" width="20.7109375" style="18" customWidth="1"/>
    <col min="3839" max="3839" width="9.28515625" style="18" customWidth="1"/>
    <col min="3840" max="3840" width="12.7109375" style="18" customWidth="1"/>
    <col min="3841" max="3841" width="10" style="18" customWidth="1"/>
    <col min="3842" max="3842" width="8.5703125" style="18" bestFit="1" customWidth="1"/>
    <col min="3843" max="3844" width="9.5703125" style="18" customWidth="1"/>
    <col min="3845" max="3845" width="10.28515625" style="18" customWidth="1"/>
    <col min="3846" max="3846" width="10" style="18" customWidth="1"/>
    <col min="3847" max="3847" width="10.28515625" style="18" customWidth="1"/>
    <col min="3848" max="3848" width="9" style="18" bestFit="1" customWidth="1"/>
    <col min="3849" max="3850" width="10.28515625" style="18" customWidth="1"/>
    <col min="3851" max="3851" width="9.5703125" style="18" customWidth="1"/>
    <col min="3852" max="3852" width="9" style="18" bestFit="1" customWidth="1"/>
    <col min="3853" max="3854" width="9.5703125" style="18" customWidth="1"/>
    <col min="3855" max="3855" width="21.140625" style="18" customWidth="1"/>
    <col min="3856" max="3858" width="9.5703125" style="18" customWidth="1"/>
    <col min="3859" max="3859" width="1" style="18" customWidth="1"/>
    <col min="3860" max="3860" width="24" style="18" customWidth="1"/>
    <col min="3861" max="4093" width="9.140625" style="18"/>
    <col min="4094" max="4094" width="20.7109375" style="18" customWidth="1"/>
    <col min="4095" max="4095" width="9.28515625" style="18" customWidth="1"/>
    <col min="4096" max="4096" width="12.7109375" style="18" customWidth="1"/>
    <col min="4097" max="4097" width="10" style="18" customWidth="1"/>
    <col min="4098" max="4098" width="8.5703125" style="18" bestFit="1" customWidth="1"/>
    <col min="4099" max="4100" width="9.5703125" style="18" customWidth="1"/>
    <col min="4101" max="4101" width="10.28515625" style="18" customWidth="1"/>
    <col min="4102" max="4102" width="10" style="18" customWidth="1"/>
    <col min="4103" max="4103" width="10.28515625" style="18" customWidth="1"/>
    <col min="4104" max="4104" width="9" style="18" bestFit="1" customWidth="1"/>
    <col min="4105" max="4106" width="10.28515625" style="18" customWidth="1"/>
    <col min="4107" max="4107" width="9.5703125" style="18" customWidth="1"/>
    <col min="4108" max="4108" width="9" style="18" bestFit="1" customWidth="1"/>
    <col min="4109" max="4110" width="9.5703125" style="18" customWidth="1"/>
    <col min="4111" max="4111" width="21.140625" style="18" customWidth="1"/>
    <col min="4112" max="4114" width="9.5703125" style="18" customWidth="1"/>
    <col min="4115" max="4115" width="1" style="18" customWidth="1"/>
    <col min="4116" max="4116" width="24" style="18" customWidth="1"/>
    <col min="4117" max="4349" width="9.140625" style="18"/>
    <col min="4350" max="4350" width="20.7109375" style="18" customWidth="1"/>
    <col min="4351" max="4351" width="9.28515625" style="18" customWidth="1"/>
    <col min="4352" max="4352" width="12.7109375" style="18" customWidth="1"/>
    <col min="4353" max="4353" width="10" style="18" customWidth="1"/>
    <col min="4354" max="4354" width="8.5703125" style="18" bestFit="1" customWidth="1"/>
    <col min="4355" max="4356" width="9.5703125" style="18" customWidth="1"/>
    <col min="4357" max="4357" width="10.28515625" style="18" customWidth="1"/>
    <col min="4358" max="4358" width="10" style="18" customWidth="1"/>
    <col min="4359" max="4359" width="10.28515625" style="18" customWidth="1"/>
    <col min="4360" max="4360" width="9" style="18" bestFit="1" customWidth="1"/>
    <col min="4361" max="4362" width="10.28515625" style="18" customWidth="1"/>
    <col min="4363" max="4363" width="9.5703125" style="18" customWidth="1"/>
    <col min="4364" max="4364" width="9" style="18" bestFit="1" customWidth="1"/>
    <col min="4365" max="4366" width="9.5703125" style="18" customWidth="1"/>
    <col min="4367" max="4367" width="21.140625" style="18" customWidth="1"/>
    <col min="4368" max="4370" width="9.5703125" style="18" customWidth="1"/>
    <col min="4371" max="4371" width="1" style="18" customWidth="1"/>
    <col min="4372" max="4372" width="24" style="18" customWidth="1"/>
    <col min="4373" max="4605" width="9.140625" style="18"/>
    <col min="4606" max="4606" width="20.7109375" style="18" customWidth="1"/>
    <col min="4607" max="4607" width="9.28515625" style="18" customWidth="1"/>
    <col min="4608" max="4608" width="12.7109375" style="18" customWidth="1"/>
    <col min="4609" max="4609" width="10" style="18" customWidth="1"/>
    <col min="4610" max="4610" width="8.5703125" style="18" bestFit="1" customWidth="1"/>
    <col min="4611" max="4612" width="9.5703125" style="18" customWidth="1"/>
    <col min="4613" max="4613" width="10.28515625" style="18" customWidth="1"/>
    <col min="4614" max="4614" width="10" style="18" customWidth="1"/>
    <col min="4615" max="4615" width="10.28515625" style="18" customWidth="1"/>
    <col min="4616" max="4616" width="9" style="18" bestFit="1" customWidth="1"/>
    <col min="4617" max="4618" width="10.28515625" style="18" customWidth="1"/>
    <col min="4619" max="4619" width="9.5703125" style="18" customWidth="1"/>
    <col min="4620" max="4620" width="9" style="18" bestFit="1" customWidth="1"/>
    <col min="4621" max="4622" width="9.5703125" style="18" customWidth="1"/>
    <col min="4623" max="4623" width="21.140625" style="18" customWidth="1"/>
    <col min="4624" max="4626" width="9.5703125" style="18" customWidth="1"/>
    <col min="4627" max="4627" width="1" style="18" customWidth="1"/>
    <col min="4628" max="4628" width="24" style="18" customWidth="1"/>
    <col min="4629" max="4861" width="9.140625" style="18"/>
    <col min="4862" max="4862" width="20.7109375" style="18" customWidth="1"/>
    <col min="4863" max="4863" width="9.28515625" style="18" customWidth="1"/>
    <col min="4864" max="4864" width="12.7109375" style="18" customWidth="1"/>
    <col min="4865" max="4865" width="10" style="18" customWidth="1"/>
    <col min="4866" max="4866" width="8.5703125" style="18" bestFit="1" customWidth="1"/>
    <col min="4867" max="4868" width="9.5703125" style="18" customWidth="1"/>
    <col min="4869" max="4869" width="10.28515625" style="18" customWidth="1"/>
    <col min="4870" max="4870" width="10" style="18" customWidth="1"/>
    <col min="4871" max="4871" width="10.28515625" style="18" customWidth="1"/>
    <col min="4872" max="4872" width="9" style="18" bestFit="1" customWidth="1"/>
    <col min="4873" max="4874" width="10.28515625" style="18" customWidth="1"/>
    <col min="4875" max="4875" width="9.5703125" style="18" customWidth="1"/>
    <col min="4876" max="4876" width="9" style="18" bestFit="1" customWidth="1"/>
    <col min="4877" max="4878" width="9.5703125" style="18" customWidth="1"/>
    <col min="4879" max="4879" width="21.140625" style="18" customWidth="1"/>
    <col min="4880" max="4882" width="9.5703125" style="18" customWidth="1"/>
    <col min="4883" max="4883" width="1" style="18" customWidth="1"/>
    <col min="4884" max="4884" width="24" style="18" customWidth="1"/>
    <col min="4885" max="5117" width="9.140625" style="18"/>
    <col min="5118" max="5118" width="20.7109375" style="18" customWidth="1"/>
    <col min="5119" max="5119" width="9.28515625" style="18" customWidth="1"/>
    <col min="5120" max="5120" width="12.7109375" style="18" customWidth="1"/>
    <col min="5121" max="5121" width="10" style="18" customWidth="1"/>
    <col min="5122" max="5122" width="8.5703125" style="18" bestFit="1" customWidth="1"/>
    <col min="5123" max="5124" width="9.5703125" style="18" customWidth="1"/>
    <col min="5125" max="5125" width="10.28515625" style="18" customWidth="1"/>
    <col min="5126" max="5126" width="10" style="18" customWidth="1"/>
    <col min="5127" max="5127" width="10.28515625" style="18" customWidth="1"/>
    <col min="5128" max="5128" width="9" style="18" bestFit="1" customWidth="1"/>
    <col min="5129" max="5130" width="10.28515625" style="18" customWidth="1"/>
    <col min="5131" max="5131" width="9.5703125" style="18" customWidth="1"/>
    <col min="5132" max="5132" width="9" style="18" bestFit="1" customWidth="1"/>
    <col min="5133" max="5134" width="9.5703125" style="18" customWidth="1"/>
    <col min="5135" max="5135" width="21.140625" style="18" customWidth="1"/>
    <col min="5136" max="5138" width="9.5703125" style="18" customWidth="1"/>
    <col min="5139" max="5139" width="1" style="18" customWidth="1"/>
    <col min="5140" max="5140" width="24" style="18" customWidth="1"/>
    <col min="5141" max="5373" width="9.140625" style="18"/>
    <col min="5374" max="5374" width="20.7109375" style="18" customWidth="1"/>
    <col min="5375" max="5375" width="9.28515625" style="18" customWidth="1"/>
    <col min="5376" max="5376" width="12.7109375" style="18" customWidth="1"/>
    <col min="5377" max="5377" width="10" style="18" customWidth="1"/>
    <col min="5378" max="5378" width="8.5703125" style="18" bestFit="1" customWidth="1"/>
    <col min="5379" max="5380" width="9.5703125" style="18" customWidth="1"/>
    <col min="5381" max="5381" width="10.28515625" style="18" customWidth="1"/>
    <col min="5382" max="5382" width="10" style="18" customWidth="1"/>
    <col min="5383" max="5383" width="10.28515625" style="18" customWidth="1"/>
    <col min="5384" max="5384" width="9" style="18" bestFit="1" customWidth="1"/>
    <col min="5385" max="5386" width="10.28515625" style="18" customWidth="1"/>
    <col min="5387" max="5387" width="9.5703125" style="18" customWidth="1"/>
    <col min="5388" max="5388" width="9" style="18" bestFit="1" customWidth="1"/>
    <col min="5389" max="5390" width="9.5703125" style="18" customWidth="1"/>
    <col min="5391" max="5391" width="21.140625" style="18" customWidth="1"/>
    <col min="5392" max="5394" width="9.5703125" style="18" customWidth="1"/>
    <col min="5395" max="5395" width="1" style="18" customWidth="1"/>
    <col min="5396" max="5396" width="24" style="18" customWidth="1"/>
    <col min="5397" max="5629" width="9.140625" style="18"/>
    <col min="5630" max="5630" width="20.7109375" style="18" customWidth="1"/>
    <col min="5631" max="5631" width="9.28515625" style="18" customWidth="1"/>
    <col min="5632" max="5632" width="12.7109375" style="18" customWidth="1"/>
    <col min="5633" max="5633" width="10" style="18" customWidth="1"/>
    <col min="5634" max="5634" width="8.5703125" style="18" bestFit="1" customWidth="1"/>
    <col min="5635" max="5636" width="9.5703125" style="18" customWidth="1"/>
    <col min="5637" max="5637" width="10.28515625" style="18" customWidth="1"/>
    <col min="5638" max="5638" width="10" style="18" customWidth="1"/>
    <col min="5639" max="5639" width="10.28515625" style="18" customWidth="1"/>
    <col min="5640" max="5640" width="9" style="18" bestFit="1" customWidth="1"/>
    <col min="5641" max="5642" width="10.28515625" style="18" customWidth="1"/>
    <col min="5643" max="5643" width="9.5703125" style="18" customWidth="1"/>
    <col min="5644" max="5644" width="9" style="18" bestFit="1" customWidth="1"/>
    <col min="5645" max="5646" width="9.5703125" style="18" customWidth="1"/>
    <col min="5647" max="5647" width="21.140625" style="18" customWidth="1"/>
    <col min="5648" max="5650" width="9.5703125" style="18" customWidth="1"/>
    <col min="5651" max="5651" width="1" style="18" customWidth="1"/>
    <col min="5652" max="5652" width="24" style="18" customWidth="1"/>
    <col min="5653" max="5885" width="9.140625" style="18"/>
    <col min="5886" max="5886" width="20.7109375" style="18" customWidth="1"/>
    <col min="5887" max="5887" width="9.28515625" style="18" customWidth="1"/>
    <col min="5888" max="5888" width="12.7109375" style="18" customWidth="1"/>
    <col min="5889" max="5889" width="10" style="18" customWidth="1"/>
    <col min="5890" max="5890" width="8.5703125" style="18" bestFit="1" customWidth="1"/>
    <col min="5891" max="5892" width="9.5703125" style="18" customWidth="1"/>
    <col min="5893" max="5893" width="10.28515625" style="18" customWidth="1"/>
    <col min="5894" max="5894" width="10" style="18" customWidth="1"/>
    <col min="5895" max="5895" width="10.28515625" style="18" customWidth="1"/>
    <col min="5896" max="5896" width="9" style="18" bestFit="1" customWidth="1"/>
    <col min="5897" max="5898" width="10.28515625" style="18" customWidth="1"/>
    <col min="5899" max="5899" width="9.5703125" style="18" customWidth="1"/>
    <col min="5900" max="5900" width="9" style="18" bestFit="1" customWidth="1"/>
    <col min="5901" max="5902" width="9.5703125" style="18" customWidth="1"/>
    <col min="5903" max="5903" width="21.140625" style="18" customWidth="1"/>
    <col min="5904" max="5906" width="9.5703125" style="18" customWidth="1"/>
    <col min="5907" max="5907" width="1" style="18" customWidth="1"/>
    <col min="5908" max="5908" width="24" style="18" customWidth="1"/>
    <col min="5909" max="6141" width="9.140625" style="18"/>
    <col min="6142" max="6142" width="20.7109375" style="18" customWidth="1"/>
    <col min="6143" max="6143" width="9.28515625" style="18" customWidth="1"/>
    <col min="6144" max="6144" width="12.7109375" style="18" customWidth="1"/>
    <col min="6145" max="6145" width="10" style="18" customWidth="1"/>
    <col min="6146" max="6146" width="8.5703125" style="18" bestFit="1" customWidth="1"/>
    <col min="6147" max="6148" width="9.5703125" style="18" customWidth="1"/>
    <col min="6149" max="6149" width="10.28515625" style="18" customWidth="1"/>
    <col min="6150" max="6150" width="10" style="18" customWidth="1"/>
    <col min="6151" max="6151" width="10.28515625" style="18" customWidth="1"/>
    <col min="6152" max="6152" width="9" style="18" bestFit="1" customWidth="1"/>
    <col min="6153" max="6154" width="10.28515625" style="18" customWidth="1"/>
    <col min="6155" max="6155" width="9.5703125" style="18" customWidth="1"/>
    <col min="6156" max="6156" width="9" style="18" bestFit="1" customWidth="1"/>
    <col min="6157" max="6158" width="9.5703125" style="18" customWidth="1"/>
    <col min="6159" max="6159" width="21.140625" style="18" customWidth="1"/>
    <col min="6160" max="6162" width="9.5703125" style="18" customWidth="1"/>
    <col min="6163" max="6163" width="1" style="18" customWidth="1"/>
    <col min="6164" max="6164" width="24" style="18" customWidth="1"/>
    <col min="6165" max="6397" width="9.140625" style="18"/>
    <col min="6398" max="6398" width="20.7109375" style="18" customWidth="1"/>
    <col min="6399" max="6399" width="9.28515625" style="18" customWidth="1"/>
    <col min="6400" max="6400" width="12.7109375" style="18" customWidth="1"/>
    <col min="6401" max="6401" width="10" style="18" customWidth="1"/>
    <col min="6402" max="6402" width="8.5703125" style="18" bestFit="1" customWidth="1"/>
    <col min="6403" max="6404" width="9.5703125" style="18" customWidth="1"/>
    <col min="6405" max="6405" width="10.28515625" style="18" customWidth="1"/>
    <col min="6406" max="6406" width="10" style="18" customWidth="1"/>
    <col min="6407" max="6407" width="10.28515625" style="18" customWidth="1"/>
    <col min="6408" max="6408" width="9" style="18" bestFit="1" customWidth="1"/>
    <col min="6409" max="6410" width="10.28515625" style="18" customWidth="1"/>
    <col min="6411" max="6411" width="9.5703125" style="18" customWidth="1"/>
    <col min="6412" max="6412" width="9" style="18" bestFit="1" customWidth="1"/>
    <col min="6413" max="6414" width="9.5703125" style="18" customWidth="1"/>
    <col min="6415" max="6415" width="21.140625" style="18" customWidth="1"/>
    <col min="6416" max="6418" width="9.5703125" style="18" customWidth="1"/>
    <col min="6419" max="6419" width="1" style="18" customWidth="1"/>
    <col min="6420" max="6420" width="24" style="18" customWidth="1"/>
    <col min="6421" max="6653" width="9.140625" style="18"/>
    <col min="6654" max="6654" width="20.7109375" style="18" customWidth="1"/>
    <col min="6655" max="6655" width="9.28515625" style="18" customWidth="1"/>
    <col min="6656" max="6656" width="12.7109375" style="18" customWidth="1"/>
    <col min="6657" max="6657" width="10" style="18" customWidth="1"/>
    <col min="6658" max="6658" width="8.5703125" style="18" bestFit="1" customWidth="1"/>
    <col min="6659" max="6660" width="9.5703125" style="18" customWidth="1"/>
    <col min="6661" max="6661" width="10.28515625" style="18" customWidth="1"/>
    <col min="6662" max="6662" width="10" style="18" customWidth="1"/>
    <col min="6663" max="6663" width="10.28515625" style="18" customWidth="1"/>
    <col min="6664" max="6664" width="9" style="18" bestFit="1" customWidth="1"/>
    <col min="6665" max="6666" width="10.28515625" style="18" customWidth="1"/>
    <col min="6667" max="6667" width="9.5703125" style="18" customWidth="1"/>
    <col min="6668" max="6668" width="9" style="18" bestFit="1" customWidth="1"/>
    <col min="6669" max="6670" width="9.5703125" style="18" customWidth="1"/>
    <col min="6671" max="6671" width="21.140625" style="18" customWidth="1"/>
    <col min="6672" max="6674" width="9.5703125" style="18" customWidth="1"/>
    <col min="6675" max="6675" width="1" style="18" customWidth="1"/>
    <col min="6676" max="6676" width="24" style="18" customWidth="1"/>
    <col min="6677" max="6909" width="9.140625" style="18"/>
    <col min="6910" max="6910" width="20.7109375" style="18" customWidth="1"/>
    <col min="6911" max="6911" width="9.28515625" style="18" customWidth="1"/>
    <col min="6912" max="6912" width="12.7109375" style="18" customWidth="1"/>
    <col min="6913" max="6913" width="10" style="18" customWidth="1"/>
    <col min="6914" max="6914" width="8.5703125" style="18" bestFit="1" customWidth="1"/>
    <col min="6915" max="6916" width="9.5703125" style="18" customWidth="1"/>
    <col min="6917" max="6917" width="10.28515625" style="18" customWidth="1"/>
    <col min="6918" max="6918" width="10" style="18" customWidth="1"/>
    <col min="6919" max="6919" width="10.28515625" style="18" customWidth="1"/>
    <col min="6920" max="6920" width="9" style="18" bestFit="1" customWidth="1"/>
    <col min="6921" max="6922" width="10.28515625" style="18" customWidth="1"/>
    <col min="6923" max="6923" width="9.5703125" style="18" customWidth="1"/>
    <col min="6924" max="6924" width="9" style="18" bestFit="1" customWidth="1"/>
    <col min="6925" max="6926" width="9.5703125" style="18" customWidth="1"/>
    <col min="6927" max="6927" width="21.140625" style="18" customWidth="1"/>
    <col min="6928" max="6930" width="9.5703125" style="18" customWidth="1"/>
    <col min="6931" max="6931" width="1" style="18" customWidth="1"/>
    <col min="6932" max="6932" width="24" style="18" customWidth="1"/>
    <col min="6933" max="7165" width="9.140625" style="18"/>
    <col min="7166" max="7166" width="20.7109375" style="18" customWidth="1"/>
    <col min="7167" max="7167" width="9.28515625" style="18" customWidth="1"/>
    <col min="7168" max="7168" width="12.7109375" style="18" customWidth="1"/>
    <col min="7169" max="7169" width="10" style="18" customWidth="1"/>
    <col min="7170" max="7170" width="8.5703125" style="18" bestFit="1" customWidth="1"/>
    <col min="7171" max="7172" width="9.5703125" style="18" customWidth="1"/>
    <col min="7173" max="7173" width="10.28515625" style="18" customWidth="1"/>
    <col min="7174" max="7174" width="10" style="18" customWidth="1"/>
    <col min="7175" max="7175" width="10.28515625" style="18" customWidth="1"/>
    <col min="7176" max="7176" width="9" style="18" bestFit="1" customWidth="1"/>
    <col min="7177" max="7178" width="10.28515625" style="18" customWidth="1"/>
    <col min="7179" max="7179" width="9.5703125" style="18" customWidth="1"/>
    <col min="7180" max="7180" width="9" style="18" bestFit="1" customWidth="1"/>
    <col min="7181" max="7182" width="9.5703125" style="18" customWidth="1"/>
    <col min="7183" max="7183" width="21.140625" style="18" customWidth="1"/>
    <col min="7184" max="7186" width="9.5703125" style="18" customWidth="1"/>
    <col min="7187" max="7187" width="1" style="18" customWidth="1"/>
    <col min="7188" max="7188" width="24" style="18" customWidth="1"/>
    <col min="7189" max="7421" width="9.140625" style="18"/>
    <col min="7422" max="7422" width="20.7109375" style="18" customWidth="1"/>
    <col min="7423" max="7423" width="9.28515625" style="18" customWidth="1"/>
    <col min="7424" max="7424" width="12.7109375" style="18" customWidth="1"/>
    <col min="7425" max="7425" width="10" style="18" customWidth="1"/>
    <col min="7426" max="7426" width="8.5703125" style="18" bestFit="1" customWidth="1"/>
    <col min="7427" max="7428" width="9.5703125" style="18" customWidth="1"/>
    <col min="7429" max="7429" width="10.28515625" style="18" customWidth="1"/>
    <col min="7430" max="7430" width="10" style="18" customWidth="1"/>
    <col min="7431" max="7431" width="10.28515625" style="18" customWidth="1"/>
    <col min="7432" max="7432" width="9" style="18" bestFit="1" customWidth="1"/>
    <col min="7433" max="7434" width="10.28515625" style="18" customWidth="1"/>
    <col min="7435" max="7435" width="9.5703125" style="18" customWidth="1"/>
    <col min="7436" max="7436" width="9" style="18" bestFit="1" customWidth="1"/>
    <col min="7437" max="7438" width="9.5703125" style="18" customWidth="1"/>
    <col min="7439" max="7439" width="21.140625" style="18" customWidth="1"/>
    <col min="7440" max="7442" width="9.5703125" style="18" customWidth="1"/>
    <col min="7443" max="7443" width="1" style="18" customWidth="1"/>
    <col min="7444" max="7444" width="24" style="18" customWidth="1"/>
    <col min="7445" max="7677" width="9.140625" style="18"/>
    <col min="7678" max="7678" width="20.7109375" style="18" customWidth="1"/>
    <col min="7679" max="7679" width="9.28515625" style="18" customWidth="1"/>
    <col min="7680" max="7680" width="12.7109375" style="18" customWidth="1"/>
    <col min="7681" max="7681" width="10" style="18" customWidth="1"/>
    <col min="7682" max="7682" width="8.5703125" style="18" bestFit="1" customWidth="1"/>
    <col min="7683" max="7684" width="9.5703125" style="18" customWidth="1"/>
    <col min="7685" max="7685" width="10.28515625" style="18" customWidth="1"/>
    <col min="7686" max="7686" width="10" style="18" customWidth="1"/>
    <col min="7687" max="7687" width="10.28515625" style="18" customWidth="1"/>
    <col min="7688" max="7688" width="9" style="18" bestFit="1" customWidth="1"/>
    <col min="7689" max="7690" width="10.28515625" style="18" customWidth="1"/>
    <col min="7691" max="7691" width="9.5703125" style="18" customWidth="1"/>
    <col min="7692" max="7692" width="9" style="18" bestFit="1" customWidth="1"/>
    <col min="7693" max="7694" width="9.5703125" style="18" customWidth="1"/>
    <col min="7695" max="7695" width="21.140625" style="18" customWidth="1"/>
    <col min="7696" max="7698" width="9.5703125" style="18" customWidth="1"/>
    <col min="7699" max="7699" width="1" style="18" customWidth="1"/>
    <col min="7700" max="7700" width="24" style="18" customWidth="1"/>
    <col min="7701" max="7933" width="9.140625" style="18"/>
    <col min="7934" max="7934" width="20.7109375" style="18" customWidth="1"/>
    <col min="7935" max="7935" width="9.28515625" style="18" customWidth="1"/>
    <col min="7936" max="7936" width="12.7109375" style="18" customWidth="1"/>
    <col min="7937" max="7937" width="10" style="18" customWidth="1"/>
    <col min="7938" max="7938" width="8.5703125" style="18" bestFit="1" customWidth="1"/>
    <col min="7939" max="7940" width="9.5703125" style="18" customWidth="1"/>
    <col min="7941" max="7941" width="10.28515625" style="18" customWidth="1"/>
    <col min="7942" max="7942" width="10" style="18" customWidth="1"/>
    <col min="7943" max="7943" width="10.28515625" style="18" customWidth="1"/>
    <col min="7944" max="7944" width="9" style="18" bestFit="1" customWidth="1"/>
    <col min="7945" max="7946" width="10.28515625" style="18" customWidth="1"/>
    <col min="7947" max="7947" width="9.5703125" style="18" customWidth="1"/>
    <col min="7948" max="7948" width="9" style="18" bestFit="1" customWidth="1"/>
    <col min="7949" max="7950" width="9.5703125" style="18" customWidth="1"/>
    <col min="7951" max="7951" width="21.140625" style="18" customWidth="1"/>
    <col min="7952" max="7954" width="9.5703125" style="18" customWidth="1"/>
    <col min="7955" max="7955" width="1" style="18" customWidth="1"/>
    <col min="7956" max="7956" width="24" style="18" customWidth="1"/>
    <col min="7957" max="8189" width="9.140625" style="18"/>
    <col min="8190" max="8190" width="20.7109375" style="18" customWidth="1"/>
    <col min="8191" max="8191" width="9.28515625" style="18" customWidth="1"/>
    <col min="8192" max="8192" width="12.7109375" style="18" customWidth="1"/>
    <col min="8193" max="8193" width="10" style="18" customWidth="1"/>
    <col min="8194" max="8194" width="8.5703125" style="18" bestFit="1" customWidth="1"/>
    <col min="8195" max="8196" width="9.5703125" style="18" customWidth="1"/>
    <col min="8197" max="8197" width="10.28515625" style="18" customWidth="1"/>
    <col min="8198" max="8198" width="10" style="18" customWidth="1"/>
    <col min="8199" max="8199" width="10.28515625" style="18" customWidth="1"/>
    <col min="8200" max="8200" width="9" style="18" bestFit="1" customWidth="1"/>
    <col min="8201" max="8202" width="10.28515625" style="18" customWidth="1"/>
    <col min="8203" max="8203" width="9.5703125" style="18" customWidth="1"/>
    <col min="8204" max="8204" width="9" style="18" bestFit="1" customWidth="1"/>
    <col min="8205" max="8206" width="9.5703125" style="18" customWidth="1"/>
    <col min="8207" max="8207" width="21.140625" style="18" customWidth="1"/>
    <col min="8208" max="8210" width="9.5703125" style="18" customWidth="1"/>
    <col min="8211" max="8211" width="1" style="18" customWidth="1"/>
    <col min="8212" max="8212" width="24" style="18" customWidth="1"/>
    <col min="8213" max="8445" width="9.140625" style="18"/>
    <col min="8446" max="8446" width="20.7109375" style="18" customWidth="1"/>
    <col min="8447" max="8447" width="9.28515625" style="18" customWidth="1"/>
    <col min="8448" max="8448" width="12.7109375" style="18" customWidth="1"/>
    <col min="8449" max="8449" width="10" style="18" customWidth="1"/>
    <col min="8450" max="8450" width="8.5703125" style="18" bestFit="1" customWidth="1"/>
    <col min="8451" max="8452" width="9.5703125" style="18" customWidth="1"/>
    <col min="8453" max="8453" width="10.28515625" style="18" customWidth="1"/>
    <col min="8454" max="8454" width="10" style="18" customWidth="1"/>
    <col min="8455" max="8455" width="10.28515625" style="18" customWidth="1"/>
    <col min="8456" max="8456" width="9" style="18" bestFit="1" customWidth="1"/>
    <col min="8457" max="8458" width="10.28515625" style="18" customWidth="1"/>
    <col min="8459" max="8459" width="9.5703125" style="18" customWidth="1"/>
    <col min="8460" max="8460" width="9" style="18" bestFit="1" customWidth="1"/>
    <col min="8461" max="8462" width="9.5703125" style="18" customWidth="1"/>
    <col min="8463" max="8463" width="21.140625" style="18" customWidth="1"/>
    <col min="8464" max="8466" width="9.5703125" style="18" customWidth="1"/>
    <col min="8467" max="8467" width="1" style="18" customWidth="1"/>
    <col min="8468" max="8468" width="24" style="18" customWidth="1"/>
    <col min="8469" max="8701" width="9.140625" style="18"/>
    <col min="8702" max="8702" width="20.7109375" style="18" customWidth="1"/>
    <col min="8703" max="8703" width="9.28515625" style="18" customWidth="1"/>
    <col min="8704" max="8704" width="12.7109375" style="18" customWidth="1"/>
    <col min="8705" max="8705" width="10" style="18" customWidth="1"/>
    <col min="8706" max="8706" width="8.5703125" style="18" bestFit="1" customWidth="1"/>
    <col min="8707" max="8708" width="9.5703125" style="18" customWidth="1"/>
    <col min="8709" max="8709" width="10.28515625" style="18" customWidth="1"/>
    <col min="8710" max="8710" width="10" style="18" customWidth="1"/>
    <col min="8711" max="8711" width="10.28515625" style="18" customWidth="1"/>
    <col min="8712" max="8712" width="9" style="18" bestFit="1" customWidth="1"/>
    <col min="8713" max="8714" width="10.28515625" style="18" customWidth="1"/>
    <col min="8715" max="8715" width="9.5703125" style="18" customWidth="1"/>
    <col min="8716" max="8716" width="9" style="18" bestFit="1" customWidth="1"/>
    <col min="8717" max="8718" width="9.5703125" style="18" customWidth="1"/>
    <col min="8719" max="8719" width="21.140625" style="18" customWidth="1"/>
    <col min="8720" max="8722" width="9.5703125" style="18" customWidth="1"/>
    <col min="8723" max="8723" width="1" style="18" customWidth="1"/>
    <col min="8724" max="8724" width="24" style="18" customWidth="1"/>
    <col min="8725" max="8957" width="9.140625" style="18"/>
    <col min="8958" max="8958" width="20.7109375" style="18" customWidth="1"/>
    <col min="8959" max="8959" width="9.28515625" style="18" customWidth="1"/>
    <col min="8960" max="8960" width="12.7109375" style="18" customWidth="1"/>
    <col min="8961" max="8961" width="10" style="18" customWidth="1"/>
    <col min="8962" max="8962" width="8.5703125" style="18" bestFit="1" customWidth="1"/>
    <col min="8963" max="8964" width="9.5703125" style="18" customWidth="1"/>
    <col min="8965" max="8965" width="10.28515625" style="18" customWidth="1"/>
    <col min="8966" max="8966" width="10" style="18" customWidth="1"/>
    <col min="8967" max="8967" width="10.28515625" style="18" customWidth="1"/>
    <col min="8968" max="8968" width="9" style="18" bestFit="1" customWidth="1"/>
    <col min="8969" max="8970" width="10.28515625" style="18" customWidth="1"/>
    <col min="8971" max="8971" width="9.5703125" style="18" customWidth="1"/>
    <col min="8972" max="8972" width="9" style="18" bestFit="1" customWidth="1"/>
    <col min="8973" max="8974" width="9.5703125" style="18" customWidth="1"/>
    <col min="8975" max="8975" width="21.140625" style="18" customWidth="1"/>
    <col min="8976" max="8978" width="9.5703125" style="18" customWidth="1"/>
    <col min="8979" max="8979" width="1" style="18" customWidth="1"/>
    <col min="8980" max="8980" width="24" style="18" customWidth="1"/>
    <col min="8981" max="9213" width="9.140625" style="18"/>
    <col min="9214" max="9214" width="20.7109375" style="18" customWidth="1"/>
    <col min="9215" max="9215" width="9.28515625" style="18" customWidth="1"/>
    <col min="9216" max="9216" width="12.7109375" style="18" customWidth="1"/>
    <col min="9217" max="9217" width="10" style="18" customWidth="1"/>
    <col min="9218" max="9218" width="8.5703125" style="18" bestFit="1" customWidth="1"/>
    <col min="9219" max="9220" width="9.5703125" style="18" customWidth="1"/>
    <col min="9221" max="9221" width="10.28515625" style="18" customWidth="1"/>
    <col min="9222" max="9222" width="10" style="18" customWidth="1"/>
    <col min="9223" max="9223" width="10.28515625" style="18" customWidth="1"/>
    <col min="9224" max="9224" width="9" style="18" bestFit="1" customWidth="1"/>
    <col min="9225" max="9226" width="10.28515625" style="18" customWidth="1"/>
    <col min="9227" max="9227" width="9.5703125" style="18" customWidth="1"/>
    <col min="9228" max="9228" width="9" style="18" bestFit="1" customWidth="1"/>
    <col min="9229" max="9230" width="9.5703125" style="18" customWidth="1"/>
    <col min="9231" max="9231" width="21.140625" style="18" customWidth="1"/>
    <col min="9232" max="9234" width="9.5703125" style="18" customWidth="1"/>
    <col min="9235" max="9235" width="1" style="18" customWidth="1"/>
    <col min="9236" max="9236" width="24" style="18" customWidth="1"/>
    <col min="9237" max="9469" width="9.140625" style="18"/>
    <col min="9470" max="9470" width="20.7109375" style="18" customWidth="1"/>
    <col min="9471" max="9471" width="9.28515625" style="18" customWidth="1"/>
    <col min="9472" max="9472" width="12.7109375" style="18" customWidth="1"/>
    <col min="9473" max="9473" width="10" style="18" customWidth="1"/>
    <col min="9474" max="9474" width="8.5703125" style="18" bestFit="1" customWidth="1"/>
    <col min="9475" max="9476" width="9.5703125" style="18" customWidth="1"/>
    <col min="9477" max="9477" width="10.28515625" style="18" customWidth="1"/>
    <col min="9478" max="9478" width="10" style="18" customWidth="1"/>
    <col min="9479" max="9479" width="10.28515625" style="18" customWidth="1"/>
    <col min="9480" max="9480" width="9" style="18" bestFit="1" customWidth="1"/>
    <col min="9481" max="9482" width="10.28515625" style="18" customWidth="1"/>
    <col min="9483" max="9483" width="9.5703125" style="18" customWidth="1"/>
    <col min="9484" max="9484" width="9" style="18" bestFit="1" customWidth="1"/>
    <col min="9485" max="9486" width="9.5703125" style="18" customWidth="1"/>
    <col min="9487" max="9487" width="21.140625" style="18" customWidth="1"/>
    <col min="9488" max="9490" width="9.5703125" style="18" customWidth="1"/>
    <col min="9491" max="9491" width="1" style="18" customWidth="1"/>
    <col min="9492" max="9492" width="24" style="18" customWidth="1"/>
    <col min="9493" max="9725" width="9.140625" style="18"/>
    <col min="9726" max="9726" width="20.7109375" style="18" customWidth="1"/>
    <col min="9727" max="9727" width="9.28515625" style="18" customWidth="1"/>
    <col min="9728" max="9728" width="12.7109375" style="18" customWidth="1"/>
    <col min="9729" max="9729" width="10" style="18" customWidth="1"/>
    <col min="9730" max="9730" width="8.5703125" style="18" bestFit="1" customWidth="1"/>
    <col min="9731" max="9732" width="9.5703125" style="18" customWidth="1"/>
    <col min="9733" max="9733" width="10.28515625" style="18" customWidth="1"/>
    <col min="9734" max="9734" width="10" style="18" customWidth="1"/>
    <col min="9735" max="9735" width="10.28515625" style="18" customWidth="1"/>
    <col min="9736" max="9736" width="9" style="18" bestFit="1" customWidth="1"/>
    <col min="9737" max="9738" width="10.28515625" style="18" customWidth="1"/>
    <col min="9739" max="9739" width="9.5703125" style="18" customWidth="1"/>
    <col min="9740" max="9740" width="9" style="18" bestFit="1" customWidth="1"/>
    <col min="9741" max="9742" width="9.5703125" style="18" customWidth="1"/>
    <col min="9743" max="9743" width="21.140625" style="18" customWidth="1"/>
    <col min="9744" max="9746" width="9.5703125" style="18" customWidth="1"/>
    <col min="9747" max="9747" width="1" style="18" customWidth="1"/>
    <col min="9748" max="9748" width="24" style="18" customWidth="1"/>
    <col min="9749" max="9981" width="9.140625" style="18"/>
    <col min="9982" max="9982" width="20.7109375" style="18" customWidth="1"/>
    <col min="9983" max="9983" width="9.28515625" style="18" customWidth="1"/>
    <col min="9984" max="9984" width="12.7109375" style="18" customWidth="1"/>
    <col min="9985" max="9985" width="10" style="18" customWidth="1"/>
    <col min="9986" max="9986" width="8.5703125" style="18" bestFit="1" customWidth="1"/>
    <col min="9987" max="9988" width="9.5703125" style="18" customWidth="1"/>
    <col min="9989" max="9989" width="10.28515625" style="18" customWidth="1"/>
    <col min="9990" max="9990" width="10" style="18" customWidth="1"/>
    <col min="9991" max="9991" width="10.28515625" style="18" customWidth="1"/>
    <col min="9992" max="9992" width="9" style="18" bestFit="1" customWidth="1"/>
    <col min="9993" max="9994" width="10.28515625" style="18" customWidth="1"/>
    <col min="9995" max="9995" width="9.5703125" style="18" customWidth="1"/>
    <col min="9996" max="9996" width="9" style="18" bestFit="1" customWidth="1"/>
    <col min="9997" max="9998" width="9.5703125" style="18" customWidth="1"/>
    <col min="9999" max="9999" width="21.140625" style="18" customWidth="1"/>
    <col min="10000" max="10002" width="9.5703125" style="18" customWidth="1"/>
    <col min="10003" max="10003" width="1" style="18" customWidth="1"/>
    <col min="10004" max="10004" width="24" style="18" customWidth="1"/>
    <col min="10005" max="10237" width="9.140625" style="18"/>
    <col min="10238" max="10238" width="20.7109375" style="18" customWidth="1"/>
    <col min="10239" max="10239" width="9.28515625" style="18" customWidth="1"/>
    <col min="10240" max="10240" width="12.7109375" style="18" customWidth="1"/>
    <col min="10241" max="10241" width="10" style="18" customWidth="1"/>
    <col min="10242" max="10242" width="8.5703125" style="18" bestFit="1" customWidth="1"/>
    <col min="10243" max="10244" width="9.5703125" style="18" customWidth="1"/>
    <col min="10245" max="10245" width="10.28515625" style="18" customWidth="1"/>
    <col min="10246" max="10246" width="10" style="18" customWidth="1"/>
    <col min="10247" max="10247" width="10.28515625" style="18" customWidth="1"/>
    <col min="10248" max="10248" width="9" style="18" bestFit="1" customWidth="1"/>
    <col min="10249" max="10250" width="10.28515625" style="18" customWidth="1"/>
    <col min="10251" max="10251" width="9.5703125" style="18" customWidth="1"/>
    <col min="10252" max="10252" width="9" style="18" bestFit="1" customWidth="1"/>
    <col min="10253" max="10254" width="9.5703125" style="18" customWidth="1"/>
    <col min="10255" max="10255" width="21.140625" style="18" customWidth="1"/>
    <col min="10256" max="10258" width="9.5703125" style="18" customWidth="1"/>
    <col min="10259" max="10259" width="1" style="18" customWidth="1"/>
    <col min="10260" max="10260" width="24" style="18" customWidth="1"/>
    <col min="10261" max="10493" width="9.140625" style="18"/>
    <col min="10494" max="10494" width="20.7109375" style="18" customWidth="1"/>
    <col min="10495" max="10495" width="9.28515625" style="18" customWidth="1"/>
    <col min="10496" max="10496" width="12.7109375" style="18" customWidth="1"/>
    <col min="10497" max="10497" width="10" style="18" customWidth="1"/>
    <col min="10498" max="10498" width="8.5703125" style="18" bestFit="1" customWidth="1"/>
    <col min="10499" max="10500" width="9.5703125" style="18" customWidth="1"/>
    <col min="10501" max="10501" width="10.28515625" style="18" customWidth="1"/>
    <col min="10502" max="10502" width="10" style="18" customWidth="1"/>
    <col min="10503" max="10503" width="10.28515625" style="18" customWidth="1"/>
    <col min="10504" max="10504" width="9" style="18" bestFit="1" customWidth="1"/>
    <col min="10505" max="10506" width="10.28515625" style="18" customWidth="1"/>
    <col min="10507" max="10507" width="9.5703125" style="18" customWidth="1"/>
    <col min="10508" max="10508" width="9" style="18" bestFit="1" customWidth="1"/>
    <col min="10509" max="10510" width="9.5703125" style="18" customWidth="1"/>
    <col min="10511" max="10511" width="21.140625" style="18" customWidth="1"/>
    <col min="10512" max="10514" width="9.5703125" style="18" customWidth="1"/>
    <col min="10515" max="10515" width="1" style="18" customWidth="1"/>
    <col min="10516" max="10516" width="24" style="18" customWidth="1"/>
    <col min="10517" max="10749" width="9.140625" style="18"/>
    <col min="10750" max="10750" width="20.7109375" style="18" customWidth="1"/>
    <col min="10751" max="10751" width="9.28515625" style="18" customWidth="1"/>
    <col min="10752" max="10752" width="12.7109375" style="18" customWidth="1"/>
    <col min="10753" max="10753" width="10" style="18" customWidth="1"/>
    <col min="10754" max="10754" width="8.5703125" style="18" bestFit="1" customWidth="1"/>
    <col min="10755" max="10756" width="9.5703125" style="18" customWidth="1"/>
    <col min="10757" max="10757" width="10.28515625" style="18" customWidth="1"/>
    <col min="10758" max="10758" width="10" style="18" customWidth="1"/>
    <col min="10759" max="10759" width="10.28515625" style="18" customWidth="1"/>
    <col min="10760" max="10760" width="9" style="18" bestFit="1" customWidth="1"/>
    <col min="10761" max="10762" width="10.28515625" style="18" customWidth="1"/>
    <col min="10763" max="10763" width="9.5703125" style="18" customWidth="1"/>
    <col min="10764" max="10764" width="9" style="18" bestFit="1" customWidth="1"/>
    <col min="10765" max="10766" width="9.5703125" style="18" customWidth="1"/>
    <col min="10767" max="10767" width="21.140625" style="18" customWidth="1"/>
    <col min="10768" max="10770" width="9.5703125" style="18" customWidth="1"/>
    <col min="10771" max="10771" width="1" style="18" customWidth="1"/>
    <col min="10772" max="10772" width="24" style="18" customWidth="1"/>
    <col min="10773" max="11005" width="9.140625" style="18"/>
    <col min="11006" max="11006" width="20.7109375" style="18" customWidth="1"/>
    <col min="11007" max="11007" width="9.28515625" style="18" customWidth="1"/>
    <col min="11008" max="11008" width="12.7109375" style="18" customWidth="1"/>
    <col min="11009" max="11009" width="10" style="18" customWidth="1"/>
    <col min="11010" max="11010" width="8.5703125" style="18" bestFit="1" customWidth="1"/>
    <col min="11011" max="11012" width="9.5703125" style="18" customWidth="1"/>
    <col min="11013" max="11013" width="10.28515625" style="18" customWidth="1"/>
    <col min="11014" max="11014" width="10" style="18" customWidth="1"/>
    <col min="11015" max="11015" width="10.28515625" style="18" customWidth="1"/>
    <col min="11016" max="11016" width="9" style="18" bestFit="1" customWidth="1"/>
    <col min="11017" max="11018" width="10.28515625" style="18" customWidth="1"/>
    <col min="11019" max="11019" width="9.5703125" style="18" customWidth="1"/>
    <col min="11020" max="11020" width="9" style="18" bestFit="1" customWidth="1"/>
    <col min="11021" max="11022" width="9.5703125" style="18" customWidth="1"/>
    <col min="11023" max="11023" width="21.140625" style="18" customWidth="1"/>
    <col min="11024" max="11026" width="9.5703125" style="18" customWidth="1"/>
    <col min="11027" max="11027" width="1" style="18" customWidth="1"/>
    <col min="11028" max="11028" width="24" style="18" customWidth="1"/>
    <col min="11029" max="11261" width="9.140625" style="18"/>
    <col min="11262" max="11262" width="20.7109375" style="18" customWidth="1"/>
    <col min="11263" max="11263" width="9.28515625" style="18" customWidth="1"/>
    <col min="11264" max="11264" width="12.7109375" style="18" customWidth="1"/>
    <col min="11265" max="11265" width="10" style="18" customWidth="1"/>
    <col min="11266" max="11266" width="8.5703125" style="18" bestFit="1" customWidth="1"/>
    <col min="11267" max="11268" width="9.5703125" style="18" customWidth="1"/>
    <col min="11269" max="11269" width="10.28515625" style="18" customWidth="1"/>
    <col min="11270" max="11270" width="10" style="18" customWidth="1"/>
    <col min="11271" max="11271" width="10.28515625" style="18" customWidth="1"/>
    <col min="11272" max="11272" width="9" style="18" bestFit="1" customWidth="1"/>
    <col min="11273" max="11274" width="10.28515625" style="18" customWidth="1"/>
    <col min="11275" max="11275" width="9.5703125" style="18" customWidth="1"/>
    <col min="11276" max="11276" width="9" style="18" bestFit="1" customWidth="1"/>
    <col min="11277" max="11278" width="9.5703125" style="18" customWidth="1"/>
    <col min="11279" max="11279" width="21.140625" style="18" customWidth="1"/>
    <col min="11280" max="11282" width="9.5703125" style="18" customWidth="1"/>
    <col min="11283" max="11283" width="1" style="18" customWidth="1"/>
    <col min="11284" max="11284" width="24" style="18" customWidth="1"/>
    <col min="11285" max="11517" width="9.140625" style="18"/>
    <col min="11518" max="11518" width="20.7109375" style="18" customWidth="1"/>
    <col min="11519" max="11519" width="9.28515625" style="18" customWidth="1"/>
    <col min="11520" max="11520" width="12.7109375" style="18" customWidth="1"/>
    <col min="11521" max="11521" width="10" style="18" customWidth="1"/>
    <col min="11522" max="11522" width="8.5703125" style="18" bestFit="1" customWidth="1"/>
    <col min="11523" max="11524" width="9.5703125" style="18" customWidth="1"/>
    <col min="11525" max="11525" width="10.28515625" style="18" customWidth="1"/>
    <col min="11526" max="11526" width="10" style="18" customWidth="1"/>
    <col min="11527" max="11527" width="10.28515625" style="18" customWidth="1"/>
    <col min="11528" max="11528" width="9" style="18" bestFit="1" customWidth="1"/>
    <col min="11529" max="11530" width="10.28515625" style="18" customWidth="1"/>
    <col min="11531" max="11531" width="9.5703125" style="18" customWidth="1"/>
    <col min="11532" max="11532" width="9" style="18" bestFit="1" customWidth="1"/>
    <col min="11533" max="11534" width="9.5703125" style="18" customWidth="1"/>
    <col min="11535" max="11535" width="21.140625" style="18" customWidth="1"/>
    <col min="11536" max="11538" width="9.5703125" style="18" customWidth="1"/>
    <col min="11539" max="11539" width="1" style="18" customWidth="1"/>
    <col min="11540" max="11540" width="24" style="18" customWidth="1"/>
    <col min="11541" max="11773" width="9.140625" style="18"/>
    <col min="11774" max="11774" width="20.7109375" style="18" customWidth="1"/>
    <col min="11775" max="11775" width="9.28515625" style="18" customWidth="1"/>
    <col min="11776" max="11776" width="12.7109375" style="18" customWidth="1"/>
    <col min="11777" max="11777" width="10" style="18" customWidth="1"/>
    <col min="11778" max="11778" width="8.5703125" style="18" bestFit="1" customWidth="1"/>
    <col min="11779" max="11780" width="9.5703125" style="18" customWidth="1"/>
    <col min="11781" max="11781" width="10.28515625" style="18" customWidth="1"/>
    <col min="11782" max="11782" width="10" style="18" customWidth="1"/>
    <col min="11783" max="11783" width="10.28515625" style="18" customWidth="1"/>
    <col min="11784" max="11784" width="9" style="18" bestFit="1" customWidth="1"/>
    <col min="11785" max="11786" width="10.28515625" style="18" customWidth="1"/>
    <col min="11787" max="11787" width="9.5703125" style="18" customWidth="1"/>
    <col min="11788" max="11788" width="9" style="18" bestFit="1" customWidth="1"/>
    <col min="11789" max="11790" width="9.5703125" style="18" customWidth="1"/>
    <col min="11791" max="11791" width="21.140625" style="18" customWidth="1"/>
    <col min="11792" max="11794" width="9.5703125" style="18" customWidth="1"/>
    <col min="11795" max="11795" width="1" style="18" customWidth="1"/>
    <col min="11796" max="11796" width="24" style="18" customWidth="1"/>
    <col min="11797" max="12029" width="9.140625" style="18"/>
    <col min="12030" max="12030" width="20.7109375" style="18" customWidth="1"/>
    <col min="12031" max="12031" width="9.28515625" style="18" customWidth="1"/>
    <col min="12032" max="12032" width="12.7109375" style="18" customWidth="1"/>
    <col min="12033" max="12033" width="10" style="18" customWidth="1"/>
    <col min="12034" max="12034" width="8.5703125" style="18" bestFit="1" customWidth="1"/>
    <col min="12035" max="12036" width="9.5703125" style="18" customWidth="1"/>
    <col min="12037" max="12037" width="10.28515625" style="18" customWidth="1"/>
    <col min="12038" max="12038" width="10" style="18" customWidth="1"/>
    <col min="12039" max="12039" width="10.28515625" style="18" customWidth="1"/>
    <col min="12040" max="12040" width="9" style="18" bestFit="1" customWidth="1"/>
    <col min="12041" max="12042" width="10.28515625" style="18" customWidth="1"/>
    <col min="12043" max="12043" width="9.5703125" style="18" customWidth="1"/>
    <col min="12044" max="12044" width="9" style="18" bestFit="1" customWidth="1"/>
    <col min="12045" max="12046" width="9.5703125" style="18" customWidth="1"/>
    <col min="12047" max="12047" width="21.140625" style="18" customWidth="1"/>
    <col min="12048" max="12050" width="9.5703125" style="18" customWidth="1"/>
    <col min="12051" max="12051" width="1" style="18" customWidth="1"/>
    <col min="12052" max="12052" width="24" style="18" customWidth="1"/>
    <col min="12053" max="12285" width="9.140625" style="18"/>
    <col min="12286" max="12286" width="20.7109375" style="18" customWidth="1"/>
    <col min="12287" max="12287" width="9.28515625" style="18" customWidth="1"/>
    <col min="12288" max="12288" width="12.7109375" style="18" customWidth="1"/>
    <col min="12289" max="12289" width="10" style="18" customWidth="1"/>
    <col min="12290" max="12290" width="8.5703125" style="18" bestFit="1" customWidth="1"/>
    <col min="12291" max="12292" width="9.5703125" style="18" customWidth="1"/>
    <col min="12293" max="12293" width="10.28515625" style="18" customWidth="1"/>
    <col min="12294" max="12294" width="10" style="18" customWidth="1"/>
    <col min="12295" max="12295" width="10.28515625" style="18" customWidth="1"/>
    <col min="12296" max="12296" width="9" style="18" bestFit="1" customWidth="1"/>
    <col min="12297" max="12298" width="10.28515625" style="18" customWidth="1"/>
    <col min="12299" max="12299" width="9.5703125" style="18" customWidth="1"/>
    <col min="12300" max="12300" width="9" style="18" bestFit="1" customWidth="1"/>
    <col min="12301" max="12302" width="9.5703125" style="18" customWidth="1"/>
    <col min="12303" max="12303" width="21.140625" style="18" customWidth="1"/>
    <col min="12304" max="12306" width="9.5703125" style="18" customWidth="1"/>
    <col min="12307" max="12307" width="1" style="18" customWidth="1"/>
    <col min="12308" max="12308" width="24" style="18" customWidth="1"/>
    <col min="12309" max="12541" width="9.140625" style="18"/>
    <col min="12542" max="12542" width="20.7109375" style="18" customWidth="1"/>
    <col min="12543" max="12543" width="9.28515625" style="18" customWidth="1"/>
    <col min="12544" max="12544" width="12.7109375" style="18" customWidth="1"/>
    <col min="12545" max="12545" width="10" style="18" customWidth="1"/>
    <col min="12546" max="12546" width="8.5703125" style="18" bestFit="1" customWidth="1"/>
    <col min="12547" max="12548" width="9.5703125" style="18" customWidth="1"/>
    <col min="12549" max="12549" width="10.28515625" style="18" customWidth="1"/>
    <col min="12550" max="12550" width="10" style="18" customWidth="1"/>
    <col min="12551" max="12551" width="10.28515625" style="18" customWidth="1"/>
    <col min="12552" max="12552" width="9" style="18" bestFit="1" customWidth="1"/>
    <col min="12553" max="12554" width="10.28515625" style="18" customWidth="1"/>
    <col min="12555" max="12555" width="9.5703125" style="18" customWidth="1"/>
    <col min="12556" max="12556" width="9" style="18" bestFit="1" customWidth="1"/>
    <col min="12557" max="12558" width="9.5703125" style="18" customWidth="1"/>
    <col min="12559" max="12559" width="21.140625" style="18" customWidth="1"/>
    <col min="12560" max="12562" width="9.5703125" style="18" customWidth="1"/>
    <col min="12563" max="12563" width="1" style="18" customWidth="1"/>
    <col min="12564" max="12564" width="24" style="18" customWidth="1"/>
    <col min="12565" max="12797" width="9.140625" style="18"/>
    <col min="12798" max="12798" width="20.7109375" style="18" customWidth="1"/>
    <col min="12799" max="12799" width="9.28515625" style="18" customWidth="1"/>
    <col min="12800" max="12800" width="12.7109375" style="18" customWidth="1"/>
    <col min="12801" max="12801" width="10" style="18" customWidth="1"/>
    <col min="12802" max="12802" width="8.5703125" style="18" bestFit="1" customWidth="1"/>
    <col min="12803" max="12804" width="9.5703125" style="18" customWidth="1"/>
    <col min="12805" max="12805" width="10.28515625" style="18" customWidth="1"/>
    <col min="12806" max="12806" width="10" style="18" customWidth="1"/>
    <col min="12807" max="12807" width="10.28515625" style="18" customWidth="1"/>
    <col min="12808" max="12808" width="9" style="18" bestFit="1" customWidth="1"/>
    <col min="12809" max="12810" width="10.28515625" style="18" customWidth="1"/>
    <col min="12811" max="12811" width="9.5703125" style="18" customWidth="1"/>
    <col min="12812" max="12812" width="9" style="18" bestFit="1" customWidth="1"/>
    <col min="12813" max="12814" width="9.5703125" style="18" customWidth="1"/>
    <col min="12815" max="12815" width="21.140625" style="18" customWidth="1"/>
    <col min="12816" max="12818" width="9.5703125" style="18" customWidth="1"/>
    <col min="12819" max="12819" width="1" style="18" customWidth="1"/>
    <col min="12820" max="12820" width="24" style="18" customWidth="1"/>
    <col min="12821" max="13053" width="9.140625" style="18"/>
    <col min="13054" max="13054" width="20.7109375" style="18" customWidth="1"/>
    <col min="13055" max="13055" width="9.28515625" style="18" customWidth="1"/>
    <col min="13056" max="13056" width="12.7109375" style="18" customWidth="1"/>
    <col min="13057" max="13057" width="10" style="18" customWidth="1"/>
    <col min="13058" max="13058" width="8.5703125" style="18" bestFit="1" customWidth="1"/>
    <col min="13059" max="13060" width="9.5703125" style="18" customWidth="1"/>
    <col min="13061" max="13061" width="10.28515625" style="18" customWidth="1"/>
    <col min="13062" max="13062" width="10" style="18" customWidth="1"/>
    <col min="13063" max="13063" width="10.28515625" style="18" customWidth="1"/>
    <col min="13064" max="13064" width="9" style="18" bestFit="1" customWidth="1"/>
    <col min="13065" max="13066" width="10.28515625" style="18" customWidth="1"/>
    <col min="13067" max="13067" width="9.5703125" style="18" customWidth="1"/>
    <col min="13068" max="13068" width="9" style="18" bestFit="1" customWidth="1"/>
    <col min="13069" max="13070" width="9.5703125" style="18" customWidth="1"/>
    <col min="13071" max="13071" width="21.140625" style="18" customWidth="1"/>
    <col min="13072" max="13074" width="9.5703125" style="18" customWidth="1"/>
    <col min="13075" max="13075" width="1" style="18" customWidth="1"/>
    <col min="13076" max="13076" width="24" style="18" customWidth="1"/>
    <col min="13077" max="13309" width="9.140625" style="18"/>
    <col min="13310" max="13310" width="20.7109375" style="18" customWidth="1"/>
    <col min="13311" max="13311" width="9.28515625" style="18" customWidth="1"/>
    <col min="13312" max="13312" width="12.7109375" style="18" customWidth="1"/>
    <col min="13313" max="13313" width="10" style="18" customWidth="1"/>
    <col min="13314" max="13314" width="8.5703125" style="18" bestFit="1" customWidth="1"/>
    <col min="13315" max="13316" width="9.5703125" style="18" customWidth="1"/>
    <col min="13317" max="13317" width="10.28515625" style="18" customWidth="1"/>
    <col min="13318" max="13318" width="10" style="18" customWidth="1"/>
    <col min="13319" max="13319" width="10.28515625" style="18" customWidth="1"/>
    <col min="13320" max="13320" width="9" style="18" bestFit="1" customWidth="1"/>
    <col min="13321" max="13322" width="10.28515625" style="18" customWidth="1"/>
    <col min="13323" max="13323" width="9.5703125" style="18" customWidth="1"/>
    <col min="13324" max="13324" width="9" style="18" bestFit="1" customWidth="1"/>
    <col min="13325" max="13326" width="9.5703125" style="18" customWidth="1"/>
    <col min="13327" max="13327" width="21.140625" style="18" customWidth="1"/>
    <col min="13328" max="13330" width="9.5703125" style="18" customWidth="1"/>
    <col min="13331" max="13331" width="1" style="18" customWidth="1"/>
    <col min="13332" max="13332" width="24" style="18" customWidth="1"/>
    <col min="13333" max="13565" width="9.140625" style="18"/>
    <col min="13566" max="13566" width="20.7109375" style="18" customWidth="1"/>
    <col min="13567" max="13567" width="9.28515625" style="18" customWidth="1"/>
    <col min="13568" max="13568" width="12.7109375" style="18" customWidth="1"/>
    <col min="13569" max="13569" width="10" style="18" customWidth="1"/>
    <col min="13570" max="13570" width="8.5703125" style="18" bestFit="1" customWidth="1"/>
    <col min="13571" max="13572" width="9.5703125" style="18" customWidth="1"/>
    <col min="13573" max="13573" width="10.28515625" style="18" customWidth="1"/>
    <col min="13574" max="13574" width="10" style="18" customWidth="1"/>
    <col min="13575" max="13575" width="10.28515625" style="18" customWidth="1"/>
    <col min="13576" max="13576" width="9" style="18" bestFit="1" customWidth="1"/>
    <col min="13577" max="13578" width="10.28515625" style="18" customWidth="1"/>
    <col min="13579" max="13579" width="9.5703125" style="18" customWidth="1"/>
    <col min="13580" max="13580" width="9" style="18" bestFit="1" customWidth="1"/>
    <col min="13581" max="13582" width="9.5703125" style="18" customWidth="1"/>
    <col min="13583" max="13583" width="21.140625" style="18" customWidth="1"/>
    <col min="13584" max="13586" width="9.5703125" style="18" customWidth="1"/>
    <col min="13587" max="13587" width="1" style="18" customWidth="1"/>
    <col min="13588" max="13588" width="24" style="18" customWidth="1"/>
    <col min="13589" max="13821" width="9.140625" style="18"/>
    <col min="13822" max="13822" width="20.7109375" style="18" customWidth="1"/>
    <col min="13823" max="13823" width="9.28515625" style="18" customWidth="1"/>
    <col min="13824" max="13824" width="12.7109375" style="18" customWidth="1"/>
    <col min="13825" max="13825" width="10" style="18" customWidth="1"/>
    <col min="13826" max="13826" width="8.5703125" style="18" bestFit="1" customWidth="1"/>
    <col min="13827" max="13828" width="9.5703125" style="18" customWidth="1"/>
    <col min="13829" max="13829" width="10.28515625" style="18" customWidth="1"/>
    <col min="13830" max="13830" width="10" style="18" customWidth="1"/>
    <col min="13831" max="13831" width="10.28515625" style="18" customWidth="1"/>
    <col min="13832" max="13832" width="9" style="18" bestFit="1" customWidth="1"/>
    <col min="13833" max="13834" width="10.28515625" style="18" customWidth="1"/>
    <col min="13835" max="13835" width="9.5703125" style="18" customWidth="1"/>
    <col min="13836" max="13836" width="9" style="18" bestFit="1" customWidth="1"/>
    <col min="13837" max="13838" width="9.5703125" style="18" customWidth="1"/>
    <col min="13839" max="13839" width="21.140625" style="18" customWidth="1"/>
    <col min="13840" max="13842" width="9.5703125" style="18" customWidth="1"/>
    <col min="13843" max="13843" width="1" style="18" customWidth="1"/>
    <col min="13844" max="13844" width="24" style="18" customWidth="1"/>
    <col min="13845" max="14077" width="9.140625" style="18"/>
    <col min="14078" max="14078" width="20.7109375" style="18" customWidth="1"/>
    <col min="14079" max="14079" width="9.28515625" style="18" customWidth="1"/>
    <col min="14080" max="14080" width="12.7109375" style="18" customWidth="1"/>
    <col min="14081" max="14081" width="10" style="18" customWidth="1"/>
    <col min="14082" max="14082" width="8.5703125" style="18" bestFit="1" customWidth="1"/>
    <col min="14083" max="14084" width="9.5703125" style="18" customWidth="1"/>
    <col min="14085" max="14085" width="10.28515625" style="18" customWidth="1"/>
    <col min="14086" max="14086" width="10" style="18" customWidth="1"/>
    <col min="14087" max="14087" width="10.28515625" style="18" customWidth="1"/>
    <col min="14088" max="14088" width="9" style="18" bestFit="1" customWidth="1"/>
    <col min="14089" max="14090" width="10.28515625" style="18" customWidth="1"/>
    <col min="14091" max="14091" width="9.5703125" style="18" customWidth="1"/>
    <col min="14092" max="14092" width="9" style="18" bestFit="1" customWidth="1"/>
    <col min="14093" max="14094" width="9.5703125" style="18" customWidth="1"/>
    <col min="14095" max="14095" width="21.140625" style="18" customWidth="1"/>
    <col min="14096" max="14098" width="9.5703125" style="18" customWidth="1"/>
    <col min="14099" max="14099" width="1" style="18" customWidth="1"/>
    <col min="14100" max="14100" width="24" style="18" customWidth="1"/>
    <col min="14101" max="14333" width="9.140625" style="18"/>
    <col min="14334" max="14334" width="20.7109375" style="18" customWidth="1"/>
    <col min="14335" max="14335" width="9.28515625" style="18" customWidth="1"/>
    <col min="14336" max="14336" width="12.7109375" style="18" customWidth="1"/>
    <col min="14337" max="14337" width="10" style="18" customWidth="1"/>
    <col min="14338" max="14338" width="8.5703125" style="18" bestFit="1" customWidth="1"/>
    <col min="14339" max="14340" width="9.5703125" style="18" customWidth="1"/>
    <col min="14341" max="14341" width="10.28515625" style="18" customWidth="1"/>
    <col min="14342" max="14342" width="10" style="18" customWidth="1"/>
    <col min="14343" max="14343" width="10.28515625" style="18" customWidth="1"/>
    <col min="14344" max="14344" width="9" style="18" bestFit="1" customWidth="1"/>
    <col min="14345" max="14346" width="10.28515625" style="18" customWidth="1"/>
    <col min="14347" max="14347" width="9.5703125" style="18" customWidth="1"/>
    <col min="14348" max="14348" width="9" style="18" bestFit="1" customWidth="1"/>
    <col min="14349" max="14350" width="9.5703125" style="18" customWidth="1"/>
    <col min="14351" max="14351" width="21.140625" style="18" customWidth="1"/>
    <col min="14352" max="14354" width="9.5703125" style="18" customWidth="1"/>
    <col min="14355" max="14355" width="1" style="18" customWidth="1"/>
    <col min="14356" max="14356" width="24" style="18" customWidth="1"/>
    <col min="14357" max="14589" width="9.140625" style="18"/>
    <col min="14590" max="14590" width="20.7109375" style="18" customWidth="1"/>
    <col min="14591" max="14591" width="9.28515625" style="18" customWidth="1"/>
    <col min="14592" max="14592" width="12.7109375" style="18" customWidth="1"/>
    <col min="14593" max="14593" width="10" style="18" customWidth="1"/>
    <col min="14594" max="14594" width="8.5703125" style="18" bestFit="1" customWidth="1"/>
    <col min="14595" max="14596" width="9.5703125" style="18" customWidth="1"/>
    <col min="14597" max="14597" width="10.28515625" style="18" customWidth="1"/>
    <col min="14598" max="14598" width="10" style="18" customWidth="1"/>
    <col min="14599" max="14599" width="10.28515625" style="18" customWidth="1"/>
    <col min="14600" max="14600" width="9" style="18" bestFit="1" customWidth="1"/>
    <col min="14601" max="14602" width="10.28515625" style="18" customWidth="1"/>
    <col min="14603" max="14603" width="9.5703125" style="18" customWidth="1"/>
    <col min="14604" max="14604" width="9" style="18" bestFit="1" customWidth="1"/>
    <col min="14605" max="14606" width="9.5703125" style="18" customWidth="1"/>
    <col min="14607" max="14607" width="21.140625" style="18" customWidth="1"/>
    <col min="14608" max="14610" width="9.5703125" style="18" customWidth="1"/>
    <col min="14611" max="14611" width="1" style="18" customWidth="1"/>
    <col min="14612" max="14612" width="24" style="18" customWidth="1"/>
    <col min="14613" max="14845" width="9.140625" style="18"/>
    <col min="14846" max="14846" width="20.7109375" style="18" customWidth="1"/>
    <col min="14847" max="14847" width="9.28515625" style="18" customWidth="1"/>
    <col min="14848" max="14848" width="12.7109375" style="18" customWidth="1"/>
    <col min="14849" max="14849" width="10" style="18" customWidth="1"/>
    <col min="14850" max="14850" width="8.5703125" style="18" bestFit="1" customWidth="1"/>
    <col min="14851" max="14852" width="9.5703125" style="18" customWidth="1"/>
    <col min="14853" max="14853" width="10.28515625" style="18" customWidth="1"/>
    <col min="14854" max="14854" width="10" style="18" customWidth="1"/>
    <col min="14855" max="14855" width="10.28515625" style="18" customWidth="1"/>
    <col min="14856" max="14856" width="9" style="18" bestFit="1" customWidth="1"/>
    <col min="14857" max="14858" width="10.28515625" style="18" customWidth="1"/>
    <col min="14859" max="14859" width="9.5703125" style="18" customWidth="1"/>
    <col min="14860" max="14860" width="9" style="18" bestFit="1" customWidth="1"/>
    <col min="14861" max="14862" width="9.5703125" style="18" customWidth="1"/>
    <col min="14863" max="14863" width="21.140625" style="18" customWidth="1"/>
    <col min="14864" max="14866" width="9.5703125" style="18" customWidth="1"/>
    <col min="14867" max="14867" width="1" style="18" customWidth="1"/>
    <col min="14868" max="14868" width="24" style="18" customWidth="1"/>
    <col min="14869" max="15101" width="9.140625" style="18"/>
    <col min="15102" max="15102" width="20.7109375" style="18" customWidth="1"/>
    <col min="15103" max="15103" width="9.28515625" style="18" customWidth="1"/>
    <col min="15104" max="15104" width="12.7109375" style="18" customWidth="1"/>
    <col min="15105" max="15105" width="10" style="18" customWidth="1"/>
    <col min="15106" max="15106" width="8.5703125" style="18" bestFit="1" customWidth="1"/>
    <col min="15107" max="15108" width="9.5703125" style="18" customWidth="1"/>
    <col min="15109" max="15109" width="10.28515625" style="18" customWidth="1"/>
    <col min="15110" max="15110" width="10" style="18" customWidth="1"/>
    <col min="15111" max="15111" width="10.28515625" style="18" customWidth="1"/>
    <col min="15112" max="15112" width="9" style="18" bestFit="1" customWidth="1"/>
    <col min="15113" max="15114" width="10.28515625" style="18" customWidth="1"/>
    <col min="15115" max="15115" width="9.5703125" style="18" customWidth="1"/>
    <col min="15116" max="15116" width="9" style="18" bestFit="1" customWidth="1"/>
    <col min="15117" max="15118" width="9.5703125" style="18" customWidth="1"/>
    <col min="15119" max="15119" width="21.140625" style="18" customWidth="1"/>
    <col min="15120" max="15122" width="9.5703125" style="18" customWidth="1"/>
    <col min="15123" max="15123" width="1" style="18" customWidth="1"/>
    <col min="15124" max="15124" width="24" style="18" customWidth="1"/>
    <col min="15125" max="15357" width="9.140625" style="18"/>
    <col min="15358" max="15358" width="20.7109375" style="18" customWidth="1"/>
    <col min="15359" max="15359" width="9.28515625" style="18" customWidth="1"/>
    <col min="15360" max="15360" width="12.7109375" style="18" customWidth="1"/>
    <col min="15361" max="15361" width="10" style="18" customWidth="1"/>
    <col min="15362" max="15362" width="8.5703125" style="18" bestFit="1" customWidth="1"/>
    <col min="15363" max="15364" width="9.5703125" style="18" customWidth="1"/>
    <col min="15365" max="15365" width="10.28515625" style="18" customWidth="1"/>
    <col min="15366" max="15366" width="10" style="18" customWidth="1"/>
    <col min="15367" max="15367" width="10.28515625" style="18" customWidth="1"/>
    <col min="15368" max="15368" width="9" style="18" bestFit="1" customWidth="1"/>
    <col min="15369" max="15370" width="10.28515625" style="18" customWidth="1"/>
    <col min="15371" max="15371" width="9.5703125" style="18" customWidth="1"/>
    <col min="15372" max="15372" width="9" style="18" bestFit="1" customWidth="1"/>
    <col min="15373" max="15374" width="9.5703125" style="18" customWidth="1"/>
    <col min="15375" max="15375" width="21.140625" style="18" customWidth="1"/>
    <col min="15376" max="15378" width="9.5703125" style="18" customWidth="1"/>
    <col min="15379" max="15379" width="1" style="18" customWidth="1"/>
    <col min="15380" max="15380" width="24" style="18" customWidth="1"/>
    <col min="15381" max="15613" width="9.140625" style="18"/>
    <col min="15614" max="15614" width="20.7109375" style="18" customWidth="1"/>
    <col min="15615" max="15615" width="9.28515625" style="18" customWidth="1"/>
    <col min="15616" max="15616" width="12.7109375" style="18" customWidth="1"/>
    <col min="15617" max="15617" width="10" style="18" customWidth="1"/>
    <col min="15618" max="15618" width="8.5703125" style="18" bestFit="1" customWidth="1"/>
    <col min="15619" max="15620" width="9.5703125" style="18" customWidth="1"/>
    <col min="15621" max="15621" width="10.28515625" style="18" customWidth="1"/>
    <col min="15622" max="15622" width="10" style="18" customWidth="1"/>
    <col min="15623" max="15623" width="10.28515625" style="18" customWidth="1"/>
    <col min="15624" max="15624" width="9" style="18" bestFit="1" customWidth="1"/>
    <col min="15625" max="15626" width="10.28515625" style="18" customWidth="1"/>
    <col min="15627" max="15627" width="9.5703125" style="18" customWidth="1"/>
    <col min="15628" max="15628" width="9" style="18" bestFit="1" customWidth="1"/>
    <col min="15629" max="15630" width="9.5703125" style="18" customWidth="1"/>
    <col min="15631" max="15631" width="21.140625" style="18" customWidth="1"/>
    <col min="15632" max="15634" width="9.5703125" style="18" customWidth="1"/>
    <col min="15635" max="15635" width="1" style="18" customWidth="1"/>
    <col min="15636" max="15636" width="24" style="18" customWidth="1"/>
    <col min="15637" max="15869" width="9.140625" style="18"/>
    <col min="15870" max="15870" width="20.7109375" style="18" customWidth="1"/>
    <col min="15871" max="15871" width="9.28515625" style="18" customWidth="1"/>
    <col min="15872" max="15872" width="12.7109375" style="18" customWidth="1"/>
    <col min="15873" max="15873" width="10" style="18" customWidth="1"/>
    <col min="15874" max="15874" width="8.5703125" style="18" bestFit="1" customWidth="1"/>
    <col min="15875" max="15876" width="9.5703125" style="18" customWidth="1"/>
    <col min="15877" max="15877" width="10.28515625" style="18" customWidth="1"/>
    <col min="15878" max="15878" width="10" style="18" customWidth="1"/>
    <col min="15879" max="15879" width="10.28515625" style="18" customWidth="1"/>
    <col min="15880" max="15880" width="9" style="18" bestFit="1" customWidth="1"/>
    <col min="15881" max="15882" width="10.28515625" style="18" customWidth="1"/>
    <col min="15883" max="15883" width="9.5703125" style="18" customWidth="1"/>
    <col min="15884" max="15884" width="9" style="18" bestFit="1" customWidth="1"/>
    <col min="15885" max="15886" width="9.5703125" style="18" customWidth="1"/>
    <col min="15887" max="15887" width="21.140625" style="18" customWidth="1"/>
    <col min="15888" max="15890" width="9.5703125" style="18" customWidth="1"/>
    <col min="15891" max="15891" width="1" style="18" customWidth="1"/>
    <col min="15892" max="15892" width="24" style="18" customWidth="1"/>
    <col min="15893" max="16125" width="9.140625" style="18"/>
    <col min="16126" max="16126" width="20.7109375" style="18" customWidth="1"/>
    <col min="16127" max="16127" width="9.28515625" style="18" customWidth="1"/>
    <col min="16128" max="16128" width="12.7109375" style="18" customWidth="1"/>
    <col min="16129" max="16129" width="10" style="18" customWidth="1"/>
    <col min="16130" max="16130" width="8.5703125" style="18" bestFit="1" customWidth="1"/>
    <col min="16131" max="16132" width="9.5703125" style="18" customWidth="1"/>
    <col min="16133" max="16133" width="10.28515625" style="18" customWidth="1"/>
    <col min="16134" max="16134" width="10" style="18" customWidth="1"/>
    <col min="16135" max="16135" width="10.28515625" style="18" customWidth="1"/>
    <col min="16136" max="16136" width="9" style="18" bestFit="1" customWidth="1"/>
    <col min="16137" max="16138" width="10.28515625" style="18" customWidth="1"/>
    <col min="16139" max="16139" width="9.5703125" style="18" customWidth="1"/>
    <col min="16140" max="16140" width="9" style="18" bestFit="1" customWidth="1"/>
    <col min="16141" max="16142" width="9.5703125" style="18" customWidth="1"/>
    <col min="16143" max="16143" width="21.140625" style="18" customWidth="1"/>
    <col min="16144" max="16146" width="9.5703125" style="18" customWidth="1"/>
    <col min="16147" max="16147" width="1" style="18" customWidth="1"/>
    <col min="16148" max="16148" width="24" style="18" customWidth="1"/>
    <col min="16149" max="16384" width="9.140625" style="18"/>
  </cols>
  <sheetData>
    <row r="1" spans="1:26" ht="13.15" customHeight="1">
      <c r="A1" s="14" t="s">
        <v>165</v>
      </c>
      <c r="B1" s="14"/>
      <c r="C1" s="14"/>
      <c r="D1" s="14"/>
      <c r="E1" s="14"/>
      <c r="F1" s="14"/>
      <c r="G1" s="14"/>
      <c r="H1" s="14"/>
      <c r="I1" s="14"/>
      <c r="J1" s="14"/>
      <c r="K1" s="14" t="s">
        <v>165</v>
      </c>
      <c r="L1" s="14"/>
      <c r="M1" s="14"/>
      <c r="N1" s="14"/>
      <c r="O1" s="14"/>
      <c r="P1" s="14"/>
      <c r="Q1" s="14"/>
      <c r="R1" s="15"/>
      <c r="S1" s="14"/>
      <c r="T1" s="16"/>
      <c r="U1" s="16" t="s">
        <v>138</v>
      </c>
      <c r="Z1" s="17"/>
    </row>
    <row r="2" spans="1:26" ht="13.15" customHeight="1">
      <c r="A2" s="19" t="s">
        <v>166</v>
      </c>
      <c r="B2" s="20"/>
      <c r="C2" s="20"/>
      <c r="D2" s="20"/>
      <c r="E2" s="20"/>
      <c r="F2" s="20"/>
      <c r="G2" s="20"/>
      <c r="H2" s="20"/>
      <c r="I2" s="20"/>
      <c r="J2" s="20"/>
      <c r="K2" s="19" t="s">
        <v>166</v>
      </c>
      <c r="L2" s="20"/>
      <c r="M2" s="20"/>
      <c r="N2" s="20"/>
      <c r="O2" s="20"/>
      <c r="P2" s="20"/>
      <c r="Q2" s="20"/>
      <c r="R2" s="21"/>
      <c r="S2" s="20"/>
      <c r="T2" s="22"/>
      <c r="U2" s="23" t="s">
        <v>139</v>
      </c>
      <c r="Z2" s="17"/>
    </row>
    <row r="3" spans="1:26" ht="13.15" customHeight="1">
      <c r="A3" s="24"/>
      <c r="B3" s="25"/>
      <c r="C3" s="25"/>
      <c r="D3" s="25"/>
      <c r="E3" s="25"/>
      <c r="F3" s="25"/>
      <c r="G3" s="25"/>
      <c r="H3" s="25"/>
      <c r="I3" s="25"/>
      <c r="J3" s="25"/>
      <c r="K3" s="24"/>
      <c r="L3" s="25"/>
      <c r="M3" s="25"/>
      <c r="N3" s="25"/>
      <c r="O3" s="25"/>
      <c r="P3" s="25"/>
      <c r="Q3" s="25"/>
      <c r="R3" s="25"/>
      <c r="S3" s="25"/>
      <c r="T3" s="26"/>
      <c r="U3" s="26"/>
      <c r="Z3" s="17"/>
    </row>
    <row r="4" spans="1:26" ht="71.45" customHeight="1">
      <c r="A4" s="29" t="s">
        <v>167</v>
      </c>
      <c r="B4" s="30" t="s">
        <v>140</v>
      </c>
      <c r="C4" s="30" t="s">
        <v>141</v>
      </c>
      <c r="D4" s="30" t="s">
        <v>142</v>
      </c>
      <c r="E4" s="30" t="s">
        <v>143</v>
      </c>
      <c r="F4" s="30" t="s">
        <v>144</v>
      </c>
      <c r="G4" s="30" t="s">
        <v>145</v>
      </c>
      <c r="H4" s="30" t="s">
        <v>146</v>
      </c>
      <c r="I4" s="30" t="s">
        <v>147</v>
      </c>
      <c r="J4" s="30" t="s">
        <v>148</v>
      </c>
      <c r="K4" s="29" t="s">
        <v>167</v>
      </c>
      <c r="L4" s="30" t="s">
        <v>149</v>
      </c>
      <c r="M4" s="30" t="s">
        <v>150</v>
      </c>
      <c r="N4" s="30" t="s">
        <v>151</v>
      </c>
      <c r="O4" s="30" t="s">
        <v>152</v>
      </c>
      <c r="P4" s="30" t="s">
        <v>153</v>
      </c>
      <c r="Q4" s="30" t="s">
        <v>154</v>
      </c>
      <c r="R4" s="27" t="s">
        <v>155</v>
      </c>
      <c r="S4" s="30" t="s">
        <v>156</v>
      </c>
      <c r="T4" s="31"/>
      <c r="U4" s="32" t="s">
        <v>157</v>
      </c>
      <c r="V4" s="28"/>
      <c r="Z4" s="17"/>
    </row>
    <row r="5" spans="1:26" ht="13.9" customHeight="1">
      <c r="A5" s="33" t="s">
        <v>168</v>
      </c>
      <c r="B5" s="34">
        <v>6325.907467</v>
      </c>
      <c r="C5" s="34">
        <v>17031.029772000002</v>
      </c>
      <c r="D5" s="34">
        <v>2218.217228</v>
      </c>
      <c r="E5" s="34">
        <v>4428.4727819999998</v>
      </c>
      <c r="F5" s="34">
        <v>19598.306605999998</v>
      </c>
      <c r="G5" s="34">
        <v>13220.650138000001</v>
      </c>
      <c r="H5" s="34">
        <v>7774.0779629999997</v>
      </c>
      <c r="I5" s="34">
        <v>5951.435931</v>
      </c>
      <c r="J5" s="34">
        <v>8292.8561860000009</v>
      </c>
      <c r="K5" s="33" t="s">
        <v>168</v>
      </c>
      <c r="L5" s="34">
        <v>33413.058816999997</v>
      </c>
      <c r="M5" s="34">
        <v>6115.4143219999996</v>
      </c>
      <c r="N5" s="34">
        <v>2292.8298439999999</v>
      </c>
      <c r="O5" s="34">
        <v>17230.143552000001</v>
      </c>
      <c r="P5" s="34">
        <v>10532.22622</v>
      </c>
      <c r="Q5" s="34">
        <v>9241.0808020000004</v>
      </c>
      <c r="R5" s="35">
        <v>7549.8912319999999</v>
      </c>
      <c r="S5" s="34">
        <v>171215.59886</v>
      </c>
      <c r="T5" s="36"/>
      <c r="U5" s="37" t="s">
        <v>158</v>
      </c>
      <c r="V5" s="28"/>
      <c r="W5" s="38"/>
      <c r="Z5" s="17"/>
    </row>
    <row r="6" spans="1:26" ht="13.9" customHeight="1">
      <c r="A6" s="41" t="s">
        <v>169</v>
      </c>
      <c r="B6" s="39">
        <v>114.422439</v>
      </c>
      <c r="C6" s="39">
        <v>75.188316999999998</v>
      </c>
      <c r="D6" s="39">
        <v>42.70082</v>
      </c>
      <c r="E6" s="39">
        <v>109.079331</v>
      </c>
      <c r="F6" s="39">
        <v>307.800389</v>
      </c>
      <c r="G6" s="39">
        <v>427.00691799999998</v>
      </c>
      <c r="H6" s="39">
        <v>502.94886300000002</v>
      </c>
      <c r="I6" s="39">
        <v>34.521106000000003</v>
      </c>
      <c r="J6" s="39">
        <v>62.024666000000003</v>
      </c>
      <c r="K6" s="41" t="s">
        <v>169</v>
      </c>
      <c r="L6" s="39">
        <v>533.83365800000001</v>
      </c>
      <c r="M6" s="39">
        <v>68.105739</v>
      </c>
      <c r="N6" s="39">
        <v>31.408331</v>
      </c>
      <c r="O6" s="39">
        <v>197.82267300000001</v>
      </c>
      <c r="P6" s="39">
        <v>182.471282</v>
      </c>
      <c r="Q6" s="39">
        <v>115.298312</v>
      </c>
      <c r="R6" s="40">
        <v>194.864857</v>
      </c>
      <c r="S6" s="39">
        <v>2999.4976999999999</v>
      </c>
      <c r="T6" s="36"/>
      <c r="U6" s="42" t="s">
        <v>159</v>
      </c>
      <c r="V6" s="28"/>
      <c r="W6" s="38"/>
      <c r="Z6" s="17"/>
    </row>
    <row r="7" spans="1:26" ht="13.9" customHeight="1">
      <c r="A7" s="41" t="s">
        <v>170</v>
      </c>
      <c r="B7" s="39">
        <v>125.38943999999999</v>
      </c>
      <c r="C7" s="39">
        <v>103.703108</v>
      </c>
      <c r="D7" s="39">
        <v>24.159953999999999</v>
      </c>
      <c r="E7" s="39">
        <v>84.213162999999994</v>
      </c>
      <c r="F7" s="39">
        <v>240.22270800000001</v>
      </c>
      <c r="G7" s="39">
        <v>204.86035899999999</v>
      </c>
      <c r="H7" s="39">
        <v>167.60912099999999</v>
      </c>
      <c r="I7" s="39">
        <v>47.239258</v>
      </c>
      <c r="J7" s="39">
        <v>62.182482</v>
      </c>
      <c r="K7" s="41" t="s">
        <v>170</v>
      </c>
      <c r="L7" s="39">
        <v>430.93852900000002</v>
      </c>
      <c r="M7" s="39">
        <v>53.331648999999999</v>
      </c>
      <c r="N7" s="39">
        <v>15.613994</v>
      </c>
      <c r="O7" s="39">
        <v>487.983836</v>
      </c>
      <c r="P7" s="39">
        <v>199.949299</v>
      </c>
      <c r="Q7" s="39">
        <v>120.71520599999999</v>
      </c>
      <c r="R7" s="40">
        <v>86.560929999999999</v>
      </c>
      <c r="S7" s="39">
        <v>2454.6730349999998</v>
      </c>
      <c r="T7" s="36"/>
      <c r="U7" s="42" t="s">
        <v>160</v>
      </c>
      <c r="V7" s="28"/>
      <c r="W7" s="38"/>
      <c r="Z7" s="17"/>
    </row>
    <row r="8" spans="1:26" ht="13.9" customHeight="1">
      <c r="A8" s="46" t="s">
        <v>171</v>
      </c>
      <c r="B8" s="43">
        <v>67.549192000000005</v>
      </c>
      <c r="C8" s="43">
        <v>55.390377000000001</v>
      </c>
      <c r="D8" s="43">
        <v>8.2123589999999993</v>
      </c>
      <c r="E8" s="43">
        <v>26.601051999999999</v>
      </c>
      <c r="F8" s="43">
        <v>125.615965</v>
      </c>
      <c r="G8" s="43">
        <v>76.698053999999999</v>
      </c>
      <c r="H8" s="43">
        <v>80.922030000000007</v>
      </c>
      <c r="I8" s="43">
        <v>30.233049000000001</v>
      </c>
      <c r="J8" s="43">
        <v>29.142464</v>
      </c>
      <c r="K8" s="46" t="s">
        <v>171</v>
      </c>
      <c r="L8" s="43">
        <v>216.605028</v>
      </c>
      <c r="M8" s="43">
        <v>32.256559000000003</v>
      </c>
      <c r="N8" s="43">
        <v>5.6920820000000001</v>
      </c>
      <c r="O8" s="43">
        <v>266.97739200000001</v>
      </c>
      <c r="P8" s="43">
        <v>108.736102</v>
      </c>
      <c r="Q8" s="43">
        <v>63.666525999999998</v>
      </c>
      <c r="R8" s="44">
        <v>53.298459999999999</v>
      </c>
      <c r="S8" s="43">
        <v>1247.596691</v>
      </c>
      <c r="T8" s="36"/>
      <c r="U8" s="45" t="s">
        <v>2</v>
      </c>
      <c r="V8" s="28"/>
      <c r="W8" s="38"/>
      <c r="Z8" s="17"/>
    </row>
    <row r="9" spans="1:26" ht="13.9" customHeight="1">
      <c r="A9" s="46" t="s">
        <v>172</v>
      </c>
      <c r="B9" s="43">
        <v>19.419498999999998</v>
      </c>
      <c r="C9" s="43">
        <v>21.854596000000001</v>
      </c>
      <c r="D9" s="43">
        <v>1.454798</v>
      </c>
      <c r="E9" s="43">
        <v>16.990428999999999</v>
      </c>
      <c r="F9" s="43">
        <v>55.317953000000003</v>
      </c>
      <c r="G9" s="43">
        <v>51.881765999999999</v>
      </c>
      <c r="H9" s="43">
        <v>58.275737999999997</v>
      </c>
      <c r="I9" s="43">
        <v>5.5073499999999997</v>
      </c>
      <c r="J9" s="43">
        <v>14.090403</v>
      </c>
      <c r="K9" s="46" t="s">
        <v>172</v>
      </c>
      <c r="L9" s="43">
        <v>89.453181000000001</v>
      </c>
      <c r="M9" s="43">
        <v>9.152927</v>
      </c>
      <c r="N9" s="43">
        <v>5.0170960000000004</v>
      </c>
      <c r="O9" s="43">
        <v>102.36938499999999</v>
      </c>
      <c r="P9" s="43">
        <v>38.559041000000001</v>
      </c>
      <c r="Q9" s="43">
        <v>25.55444</v>
      </c>
      <c r="R9" s="44">
        <v>18.238403000000002</v>
      </c>
      <c r="S9" s="43">
        <v>533.13700600000004</v>
      </c>
      <c r="T9" s="36"/>
      <c r="U9" s="45" t="s">
        <v>6</v>
      </c>
      <c r="V9" s="28"/>
      <c r="W9" s="38"/>
      <c r="Z9" s="17"/>
    </row>
    <row r="10" spans="1:26" ht="13.9" customHeight="1">
      <c r="A10" s="46" t="s">
        <v>173</v>
      </c>
      <c r="B10" s="43">
        <v>38.420748000000003</v>
      </c>
      <c r="C10" s="43">
        <v>26.458134999999999</v>
      </c>
      <c r="D10" s="43">
        <v>14.492796999999999</v>
      </c>
      <c r="E10" s="43">
        <v>40.621682</v>
      </c>
      <c r="F10" s="43">
        <v>59.288789999999999</v>
      </c>
      <c r="G10" s="43">
        <v>76.280539000000005</v>
      </c>
      <c r="H10" s="43">
        <v>28.411352999999998</v>
      </c>
      <c r="I10" s="43">
        <v>11.498858999999999</v>
      </c>
      <c r="J10" s="43">
        <v>18.949615000000001</v>
      </c>
      <c r="K10" s="46" t="s">
        <v>173</v>
      </c>
      <c r="L10" s="43">
        <v>124.88032</v>
      </c>
      <c r="M10" s="43">
        <v>11.922162</v>
      </c>
      <c r="N10" s="43">
        <v>4.9048160000000003</v>
      </c>
      <c r="O10" s="43">
        <v>118.63705899999999</v>
      </c>
      <c r="P10" s="43">
        <v>52.654156</v>
      </c>
      <c r="Q10" s="43">
        <v>31.494240000000001</v>
      </c>
      <c r="R10" s="44">
        <v>15.024067000000001</v>
      </c>
      <c r="S10" s="43">
        <v>673.93933800000002</v>
      </c>
      <c r="T10" s="36"/>
      <c r="U10" s="45" t="s">
        <v>7</v>
      </c>
      <c r="V10" s="28"/>
      <c r="W10" s="38"/>
      <c r="Z10" s="17"/>
    </row>
    <row r="11" spans="1:26" ht="13.9" customHeight="1">
      <c r="A11" s="41" t="s">
        <v>174</v>
      </c>
      <c r="B11" s="39">
        <v>154.504402</v>
      </c>
      <c r="C11" s="39">
        <v>219.120822</v>
      </c>
      <c r="D11" s="39">
        <v>70.611633999999995</v>
      </c>
      <c r="E11" s="39">
        <v>285.12224300000003</v>
      </c>
      <c r="F11" s="39">
        <v>500.69570599999997</v>
      </c>
      <c r="G11" s="39">
        <v>836.69183899999996</v>
      </c>
      <c r="H11" s="39">
        <v>1143.4447379999999</v>
      </c>
      <c r="I11" s="39">
        <v>59.816961999999997</v>
      </c>
      <c r="J11" s="39">
        <v>105.15815499999999</v>
      </c>
      <c r="K11" s="41" t="s">
        <v>174</v>
      </c>
      <c r="L11" s="39">
        <v>818.53594699999996</v>
      </c>
      <c r="M11" s="39">
        <v>75.822740999999994</v>
      </c>
      <c r="N11" s="39">
        <v>64.255780000000001</v>
      </c>
      <c r="O11" s="39">
        <v>471.51529399999998</v>
      </c>
      <c r="P11" s="39">
        <v>311.397175</v>
      </c>
      <c r="Q11" s="39">
        <v>174.55495300000001</v>
      </c>
      <c r="R11" s="40">
        <v>210.01726099999999</v>
      </c>
      <c r="S11" s="39">
        <v>5501.2656539999998</v>
      </c>
      <c r="T11" s="36"/>
      <c r="U11" s="42" t="s">
        <v>161</v>
      </c>
      <c r="V11" s="28"/>
      <c r="W11" s="38"/>
      <c r="Z11" s="17"/>
    </row>
    <row r="12" spans="1:26" ht="13.9" customHeight="1">
      <c r="A12" s="46" t="s">
        <v>175</v>
      </c>
      <c r="B12" s="43">
        <v>81.347005999999993</v>
      </c>
      <c r="C12" s="43">
        <v>111.131479</v>
      </c>
      <c r="D12" s="43">
        <v>57.440801999999998</v>
      </c>
      <c r="E12" s="43">
        <v>134.959262</v>
      </c>
      <c r="F12" s="43">
        <v>288.68769300000002</v>
      </c>
      <c r="G12" s="43">
        <v>459.95460400000002</v>
      </c>
      <c r="H12" s="43">
        <v>654.40131499999995</v>
      </c>
      <c r="I12" s="43">
        <v>37.121138000000002</v>
      </c>
      <c r="J12" s="43">
        <v>69.026454000000001</v>
      </c>
      <c r="K12" s="46" t="s">
        <v>175</v>
      </c>
      <c r="L12" s="43">
        <v>390.96504599999997</v>
      </c>
      <c r="M12" s="43">
        <v>48.360835000000002</v>
      </c>
      <c r="N12" s="43">
        <v>42.148516000000001</v>
      </c>
      <c r="O12" s="43">
        <v>350.22760699999998</v>
      </c>
      <c r="P12" s="43">
        <v>198.07217600000001</v>
      </c>
      <c r="Q12" s="43">
        <v>127.14193400000001</v>
      </c>
      <c r="R12" s="44">
        <v>101.911856</v>
      </c>
      <c r="S12" s="43">
        <v>3152.897723</v>
      </c>
      <c r="T12" s="36"/>
      <c r="U12" s="45" t="s">
        <v>162</v>
      </c>
      <c r="V12" s="28"/>
      <c r="W12" s="38"/>
      <c r="Z12" s="17"/>
    </row>
    <row r="13" spans="1:26" ht="13.9" customHeight="1">
      <c r="A13" s="46" t="s">
        <v>176</v>
      </c>
      <c r="B13" s="43">
        <v>73.157396000000006</v>
      </c>
      <c r="C13" s="43">
        <v>107.98934299999999</v>
      </c>
      <c r="D13" s="43">
        <v>13.170832000000001</v>
      </c>
      <c r="E13" s="43">
        <v>150.162981</v>
      </c>
      <c r="F13" s="43">
        <v>212.008014</v>
      </c>
      <c r="G13" s="43">
        <v>376.737235</v>
      </c>
      <c r="H13" s="43">
        <v>489.04342300000002</v>
      </c>
      <c r="I13" s="43">
        <v>22.695824999999999</v>
      </c>
      <c r="J13" s="43">
        <v>36.131701</v>
      </c>
      <c r="K13" s="46" t="s">
        <v>176</v>
      </c>
      <c r="L13" s="43">
        <v>427.57090099999999</v>
      </c>
      <c r="M13" s="43">
        <v>27.461905999999999</v>
      </c>
      <c r="N13" s="43">
        <v>22.107264000000001</v>
      </c>
      <c r="O13" s="43">
        <v>121.28768599999999</v>
      </c>
      <c r="P13" s="43">
        <v>113.32499900000001</v>
      </c>
      <c r="Q13" s="43">
        <v>47.413018999999998</v>
      </c>
      <c r="R13" s="44">
        <v>108.105406</v>
      </c>
      <c r="S13" s="43">
        <v>2348.3679310000002</v>
      </c>
      <c r="T13" s="36"/>
      <c r="U13" s="45" t="s">
        <v>163</v>
      </c>
      <c r="V13" s="28"/>
      <c r="W13" s="38"/>
      <c r="Z13" s="17"/>
    </row>
    <row r="14" spans="1:26" ht="13.9" customHeight="1">
      <c r="A14" s="41" t="s">
        <v>177</v>
      </c>
      <c r="B14" s="39">
        <v>540.48595699999998</v>
      </c>
      <c r="C14" s="39">
        <v>554.99918400000001</v>
      </c>
      <c r="D14" s="39">
        <v>74.269407000000001</v>
      </c>
      <c r="E14" s="39">
        <v>255.62152800000001</v>
      </c>
      <c r="F14" s="39">
        <v>903.31062799999995</v>
      </c>
      <c r="G14" s="39">
        <v>503.79508399999997</v>
      </c>
      <c r="H14" s="39">
        <v>1057.425892</v>
      </c>
      <c r="I14" s="39">
        <v>168.96428599999999</v>
      </c>
      <c r="J14" s="39">
        <v>246.124819</v>
      </c>
      <c r="K14" s="41" t="s">
        <v>177</v>
      </c>
      <c r="L14" s="39">
        <v>1210.9109779999999</v>
      </c>
      <c r="M14" s="39">
        <v>207.11536699999999</v>
      </c>
      <c r="N14" s="39">
        <v>103.690307</v>
      </c>
      <c r="O14" s="39">
        <v>662.14353000000006</v>
      </c>
      <c r="P14" s="39">
        <v>570.257566</v>
      </c>
      <c r="Q14" s="39">
        <v>516.75054699999998</v>
      </c>
      <c r="R14" s="40">
        <v>417.68627300000003</v>
      </c>
      <c r="S14" s="39">
        <v>7993.5513529999998</v>
      </c>
      <c r="T14" s="36"/>
      <c r="U14" s="42" t="s">
        <v>164</v>
      </c>
      <c r="V14" s="28"/>
      <c r="W14" s="38"/>
      <c r="Z14" s="17"/>
    </row>
    <row r="15" spans="1:26">
      <c r="A15" s="47"/>
      <c r="V15" s="38"/>
    </row>
    <row r="16" spans="1:26">
      <c r="A16" s="14" t="s">
        <v>165</v>
      </c>
      <c r="B16" s="140" t="s">
        <v>285</v>
      </c>
      <c r="C16" s="50"/>
      <c r="D16" s="50"/>
      <c r="E16" s="50"/>
      <c r="F16" s="50"/>
      <c r="G16" s="50"/>
      <c r="H16" s="50"/>
      <c r="I16" s="50"/>
      <c r="J16" s="50"/>
      <c r="K16" s="14"/>
      <c r="M16" s="16" t="s">
        <v>240</v>
      </c>
      <c r="N16" s="18"/>
      <c r="O16" s="50"/>
      <c r="P16" s="50"/>
      <c r="Q16" s="50"/>
      <c r="R16" s="50"/>
      <c r="S16" s="52"/>
      <c r="U16" s="16"/>
    </row>
    <row r="17" spans="1:21">
      <c r="A17" s="19" t="s">
        <v>166</v>
      </c>
      <c r="B17" s="140"/>
      <c r="C17" s="50"/>
      <c r="D17" s="50"/>
      <c r="E17" s="50"/>
      <c r="F17" s="50"/>
      <c r="G17" s="50"/>
      <c r="H17" s="50"/>
      <c r="I17" s="50"/>
      <c r="J17" s="50"/>
      <c r="K17" s="19"/>
      <c r="M17" s="23" t="s">
        <v>139</v>
      </c>
      <c r="N17" s="52"/>
      <c r="O17" s="50"/>
      <c r="P17" s="50"/>
      <c r="Q17" s="50"/>
      <c r="R17" s="50"/>
      <c r="S17" s="52"/>
      <c r="U17" s="23"/>
    </row>
    <row r="18" spans="1:21">
      <c r="A18" s="263" t="s">
        <v>167</v>
      </c>
      <c r="B18" s="262" t="s">
        <v>140</v>
      </c>
      <c r="C18" s="262" t="s">
        <v>141</v>
      </c>
      <c r="D18" s="262"/>
      <c r="E18" s="264" t="s">
        <v>143</v>
      </c>
      <c r="F18" s="262" t="s">
        <v>144</v>
      </c>
      <c r="G18" s="259" t="s">
        <v>147</v>
      </c>
      <c r="H18" s="259" t="s">
        <v>148</v>
      </c>
      <c r="I18" s="259" t="s">
        <v>149</v>
      </c>
      <c r="J18" s="259" t="s">
        <v>150</v>
      </c>
      <c r="K18" s="259" t="s">
        <v>152</v>
      </c>
      <c r="L18" s="259" t="s">
        <v>155</v>
      </c>
      <c r="M18" s="261" t="s">
        <v>156</v>
      </c>
      <c r="Q18" s="50"/>
      <c r="R18" s="50"/>
      <c r="S18" s="52"/>
    </row>
    <row r="19" spans="1:21" ht="33.75">
      <c r="A19" s="263"/>
      <c r="B19" s="262"/>
      <c r="C19" s="131" t="s">
        <v>241</v>
      </c>
      <c r="D19" s="141" t="s">
        <v>242</v>
      </c>
      <c r="E19" s="264"/>
      <c r="F19" s="262"/>
      <c r="G19" s="260"/>
      <c r="H19" s="260"/>
      <c r="I19" s="260"/>
      <c r="J19" s="260"/>
      <c r="K19" s="260"/>
      <c r="L19" s="260"/>
      <c r="M19" s="261"/>
      <c r="Q19" s="50"/>
      <c r="R19" s="50"/>
      <c r="S19" s="52"/>
      <c r="T19" s="52"/>
    </row>
    <row r="20" spans="1:21">
      <c r="A20" s="96" t="s">
        <v>168</v>
      </c>
      <c r="B20" s="143">
        <v>6673.2600039999998</v>
      </c>
      <c r="C20" s="143">
        <v>23402.072260000001</v>
      </c>
      <c r="D20" s="143">
        <v>17022.332783000002</v>
      </c>
      <c r="E20" s="143">
        <v>3699.463127</v>
      </c>
      <c r="F20" s="143">
        <v>38246.108372000002</v>
      </c>
      <c r="G20" s="143">
        <v>5446.7814410000001</v>
      </c>
      <c r="H20" s="143">
        <v>6466.4252569999999</v>
      </c>
      <c r="I20" s="143">
        <v>26986.605006000002</v>
      </c>
      <c r="J20" s="143">
        <v>8202.5567890000002</v>
      </c>
      <c r="K20" s="143">
        <v>31940.777135</v>
      </c>
      <c r="L20" s="143">
        <v>6462.2969329999996</v>
      </c>
      <c r="M20" s="137">
        <v>157526.34632400001</v>
      </c>
      <c r="Q20" s="50"/>
      <c r="R20" s="50"/>
    </row>
    <row r="21" spans="1:21">
      <c r="A21" s="98" t="s">
        <v>169</v>
      </c>
      <c r="B21" s="143">
        <v>119.622137</v>
      </c>
      <c r="C21" s="143">
        <v>129.42912000000001</v>
      </c>
      <c r="D21" s="143">
        <v>72.808502000000004</v>
      </c>
      <c r="E21" s="143">
        <v>81.497742000000002</v>
      </c>
      <c r="F21" s="143">
        <v>1256.5970789999999</v>
      </c>
      <c r="G21" s="143">
        <v>28.990776</v>
      </c>
      <c r="H21" s="143">
        <v>52.840093000000003</v>
      </c>
      <c r="I21" s="143">
        <v>438.00928399999998</v>
      </c>
      <c r="J21" s="143">
        <v>118.966244</v>
      </c>
      <c r="K21" s="143">
        <v>402.17382500000002</v>
      </c>
      <c r="L21" s="143">
        <v>142.753264</v>
      </c>
      <c r="M21" s="137">
        <v>2770.879563</v>
      </c>
      <c r="Q21" s="50"/>
      <c r="R21" s="50"/>
    </row>
    <row r="22" spans="1:21">
      <c r="A22" s="98" t="s">
        <v>170</v>
      </c>
      <c r="B22" s="143">
        <v>122.930948</v>
      </c>
      <c r="C22" s="143">
        <v>167.22028700000001</v>
      </c>
      <c r="D22" s="143">
        <v>92.825612000000007</v>
      </c>
      <c r="E22" s="143">
        <v>67.605896999999999</v>
      </c>
      <c r="F22" s="143">
        <v>514.37501799999995</v>
      </c>
      <c r="G22" s="143">
        <v>41.458970999999998</v>
      </c>
      <c r="H22" s="143">
        <v>63.299320999999999</v>
      </c>
      <c r="I22" s="143">
        <v>350.14381400000002</v>
      </c>
      <c r="J22" s="143">
        <v>70.727838000000006</v>
      </c>
      <c r="K22" s="143">
        <v>691.17656099999999</v>
      </c>
      <c r="L22" s="143">
        <v>78.513527999999994</v>
      </c>
      <c r="M22" s="137">
        <v>2167.4521829999999</v>
      </c>
      <c r="Q22" s="50"/>
      <c r="R22" s="50"/>
    </row>
    <row r="23" spans="1:21">
      <c r="A23" s="133" t="s">
        <v>171</v>
      </c>
      <c r="B23" s="143">
        <v>79.293149999999997</v>
      </c>
      <c r="C23" s="143">
        <v>88.139363000000003</v>
      </c>
      <c r="D23" s="143">
        <v>49.272091000000003</v>
      </c>
      <c r="E23" s="143">
        <v>34.612448000000001</v>
      </c>
      <c r="F23" s="143">
        <v>255.97142500000001</v>
      </c>
      <c r="G23" s="143">
        <v>27.239747999999999</v>
      </c>
      <c r="H23" s="143">
        <v>28.662763999999999</v>
      </c>
      <c r="I23" s="143">
        <v>175.59127000000001</v>
      </c>
      <c r="J23" s="143">
        <v>40.421962000000001</v>
      </c>
      <c r="K23" s="143">
        <v>373.97143899999998</v>
      </c>
      <c r="L23" s="143">
        <v>47.887031999999998</v>
      </c>
      <c r="M23" s="137">
        <v>1151.790602</v>
      </c>
      <c r="Q23" s="50"/>
      <c r="R23" s="50"/>
    </row>
    <row r="24" spans="1:21">
      <c r="A24" s="133" t="s">
        <v>172</v>
      </c>
      <c r="B24" s="143">
        <v>13.024469</v>
      </c>
      <c r="C24" s="143">
        <v>36.567103000000003</v>
      </c>
      <c r="D24" s="143">
        <v>21.646121999999998</v>
      </c>
      <c r="E24" s="143">
        <v>8.7709060000000001</v>
      </c>
      <c r="F24" s="143">
        <v>142.840428</v>
      </c>
      <c r="G24" s="143">
        <v>4.0066009999999999</v>
      </c>
      <c r="H24" s="143">
        <v>12.152652</v>
      </c>
      <c r="I24" s="143">
        <v>72.573252999999994</v>
      </c>
      <c r="J24" s="143">
        <v>11.374953</v>
      </c>
      <c r="K24" s="143">
        <v>139.961648</v>
      </c>
      <c r="L24" s="143">
        <v>16.325828999999999</v>
      </c>
      <c r="M24" s="137">
        <v>457.59784300000001</v>
      </c>
      <c r="Q24" s="50"/>
      <c r="R24" s="50"/>
    </row>
    <row r="25" spans="1:21">
      <c r="A25" s="133" t="s">
        <v>173</v>
      </c>
      <c r="B25" s="143">
        <v>30.613329</v>
      </c>
      <c r="C25" s="143">
        <v>42.513821</v>
      </c>
      <c r="D25" s="143">
        <v>21.907399000000002</v>
      </c>
      <c r="E25" s="143">
        <v>24.222542000000001</v>
      </c>
      <c r="F25" s="143">
        <v>115.563164</v>
      </c>
      <c r="G25" s="143">
        <v>10.212622</v>
      </c>
      <c r="H25" s="143">
        <v>22.483903999999999</v>
      </c>
      <c r="I25" s="143">
        <v>101.979291</v>
      </c>
      <c r="J25" s="143">
        <v>18.930923</v>
      </c>
      <c r="K25" s="143">
        <v>177.24347399999999</v>
      </c>
      <c r="L25" s="143">
        <v>14.300668</v>
      </c>
      <c r="M25" s="137">
        <v>558.06373799999994</v>
      </c>
      <c r="Q25" s="50"/>
      <c r="R25" s="50"/>
      <c r="S25" s="18"/>
      <c r="T25" s="17"/>
    </row>
    <row r="26" spans="1:21">
      <c r="A26" s="98" t="s">
        <v>174</v>
      </c>
      <c r="B26" s="143">
        <v>142.58545599999999</v>
      </c>
      <c r="C26" s="143">
        <v>374.02563800000001</v>
      </c>
      <c r="D26" s="143">
        <v>135.559054</v>
      </c>
      <c r="E26" s="143">
        <v>194.14094299999999</v>
      </c>
      <c r="F26" s="143">
        <v>2658.2145009999999</v>
      </c>
      <c r="G26" s="143">
        <v>51.223700999999998</v>
      </c>
      <c r="H26" s="143">
        <v>110.821923</v>
      </c>
      <c r="I26" s="143">
        <v>678.09025299999996</v>
      </c>
      <c r="J26" s="143">
        <v>200.647604</v>
      </c>
      <c r="K26" s="143">
        <v>753.47019699999998</v>
      </c>
      <c r="L26" s="143">
        <v>207.526972</v>
      </c>
      <c r="M26" s="137">
        <v>5370.7471880000003</v>
      </c>
      <c r="Q26" s="50"/>
      <c r="R26" s="50"/>
      <c r="S26" s="18"/>
      <c r="T26" s="17"/>
    </row>
    <row r="27" spans="1:21">
      <c r="A27" s="133" t="s">
        <v>175</v>
      </c>
      <c r="B27" s="143">
        <v>82.153907000000004</v>
      </c>
      <c r="C27" s="143">
        <v>209.682694</v>
      </c>
      <c r="D27" s="143">
        <v>83.749933999999996</v>
      </c>
      <c r="E27" s="143">
        <v>85.135274999999993</v>
      </c>
      <c r="F27" s="143">
        <v>1367.6391819999999</v>
      </c>
      <c r="G27" s="143">
        <v>33.515957</v>
      </c>
      <c r="H27" s="143">
        <v>63.126463999999999</v>
      </c>
      <c r="I27" s="143">
        <v>319.346317</v>
      </c>
      <c r="J27" s="143">
        <v>128.496756</v>
      </c>
      <c r="K27" s="143">
        <v>536.97133799999995</v>
      </c>
      <c r="L27" s="143">
        <v>115.47106599999999</v>
      </c>
      <c r="M27" s="137">
        <v>2941.5389540000001</v>
      </c>
      <c r="Q27" s="50"/>
      <c r="R27" s="50"/>
    </row>
    <row r="28" spans="1:21">
      <c r="A28" s="133" t="s">
        <v>176</v>
      </c>
      <c r="B28" s="143">
        <v>60.431548999999997</v>
      </c>
      <c r="C28" s="143">
        <v>164.34294399999999</v>
      </c>
      <c r="D28" s="143">
        <v>51.809120999999998</v>
      </c>
      <c r="E28" s="143">
        <v>109.005668</v>
      </c>
      <c r="F28" s="143">
        <v>1290.575319</v>
      </c>
      <c r="G28" s="143">
        <v>17.707744000000002</v>
      </c>
      <c r="H28" s="143">
        <v>47.695459</v>
      </c>
      <c r="I28" s="143">
        <v>358.74393700000002</v>
      </c>
      <c r="J28" s="143">
        <v>72.150847999999996</v>
      </c>
      <c r="K28" s="143">
        <v>216.49886000000001</v>
      </c>
      <c r="L28" s="143">
        <v>92.055905999999993</v>
      </c>
      <c r="M28" s="137">
        <v>2429.2082340000002</v>
      </c>
      <c r="Q28" s="50"/>
      <c r="R28" s="50"/>
    </row>
    <row r="29" spans="1:21">
      <c r="A29" s="98" t="s">
        <v>177</v>
      </c>
      <c r="B29" s="143">
        <v>577.17357800000002</v>
      </c>
      <c r="C29" s="143">
        <v>809.71652200000005</v>
      </c>
      <c r="D29" s="143">
        <v>507.66210699999999</v>
      </c>
      <c r="E29" s="143">
        <v>261.65523300000001</v>
      </c>
      <c r="F29" s="143">
        <v>2802.5233840000001</v>
      </c>
      <c r="G29" s="143">
        <v>149.81000900000001</v>
      </c>
      <c r="H29" s="143">
        <v>229.86803900000001</v>
      </c>
      <c r="I29" s="143">
        <v>987.06472799999995</v>
      </c>
      <c r="J29" s="143">
        <v>358.68876899999998</v>
      </c>
      <c r="K29" s="143">
        <v>1411.2778989999999</v>
      </c>
      <c r="L29" s="143">
        <v>362.19465300000002</v>
      </c>
      <c r="M29" s="137">
        <v>7949.9728160000004</v>
      </c>
      <c r="Q29" s="50"/>
      <c r="R29" s="50"/>
    </row>
    <row r="30" spans="1:21">
      <c r="A30" s="145"/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7"/>
      <c r="Q30" s="50"/>
      <c r="R30" s="50"/>
    </row>
    <row r="31" spans="1:21">
      <c r="A31" s="14" t="s">
        <v>245</v>
      </c>
      <c r="B31" s="14"/>
      <c r="C31" s="140" t="s">
        <v>285</v>
      </c>
      <c r="D31" s="146"/>
      <c r="E31" s="146"/>
      <c r="F31" s="146"/>
      <c r="G31" s="146"/>
      <c r="H31" s="146"/>
      <c r="I31" s="146"/>
      <c r="J31" s="146"/>
      <c r="K31" s="146"/>
      <c r="L31" s="146"/>
      <c r="M31" s="147"/>
      <c r="Q31" s="50"/>
      <c r="R31" s="50"/>
    </row>
    <row r="32" spans="1:21">
      <c r="A32" s="19" t="s">
        <v>166</v>
      </c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7"/>
      <c r="Q32" s="50"/>
      <c r="R32" s="50"/>
    </row>
    <row r="33" spans="1:19">
      <c r="A33" s="263" t="s">
        <v>167</v>
      </c>
      <c r="B33" s="262" t="s">
        <v>140</v>
      </c>
      <c r="C33" s="262" t="s">
        <v>141</v>
      </c>
      <c r="D33" s="262"/>
      <c r="E33" s="264" t="s">
        <v>143</v>
      </c>
      <c r="F33" s="262" t="s">
        <v>144</v>
      </c>
      <c r="G33" s="259" t="s">
        <v>147</v>
      </c>
      <c r="H33" s="259" t="s">
        <v>148</v>
      </c>
      <c r="I33" s="259" t="s">
        <v>149</v>
      </c>
      <c r="J33" s="259" t="s">
        <v>150</v>
      </c>
      <c r="K33" s="259" t="s">
        <v>152</v>
      </c>
      <c r="L33" s="259" t="s">
        <v>155</v>
      </c>
      <c r="M33" s="261" t="s">
        <v>246</v>
      </c>
      <c r="Q33" s="50"/>
      <c r="R33" s="50"/>
    </row>
    <row r="34" spans="1:19" ht="33.75">
      <c r="A34" s="263"/>
      <c r="B34" s="262"/>
      <c r="C34" s="148" t="s">
        <v>241</v>
      </c>
      <c r="D34" s="141" t="s">
        <v>242</v>
      </c>
      <c r="E34" s="264"/>
      <c r="F34" s="262"/>
      <c r="G34" s="260"/>
      <c r="H34" s="260"/>
      <c r="I34" s="260"/>
      <c r="J34" s="260"/>
      <c r="K34" s="260"/>
      <c r="L34" s="260"/>
      <c r="M34" s="261"/>
      <c r="Q34" s="50"/>
      <c r="R34" s="50"/>
    </row>
    <row r="35" spans="1:19">
      <c r="A35" s="96" t="s">
        <v>168</v>
      </c>
      <c r="B35" s="151">
        <v>4.2362818409273872</v>
      </c>
      <c r="C35" s="151">
        <v>14.855973496564598</v>
      </c>
      <c r="D35" s="151">
        <v>10.806022725867384</v>
      </c>
      <c r="E35" s="151">
        <v>2.3484726290743443</v>
      </c>
      <c r="F35" s="151">
        <v>24.279182031769754</v>
      </c>
      <c r="G35" s="151">
        <v>3.4576955335439989</v>
      </c>
      <c r="H35" s="151">
        <v>4.1049801559542711</v>
      </c>
      <c r="I35" s="151">
        <v>17.13148665969436</v>
      </c>
      <c r="J35" s="151">
        <v>5.207101529625394</v>
      </c>
      <c r="K35" s="151">
        <v>20.276466686597459</v>
      </c>
      <c r="L35" s="151">
        <v>4.1023594362484328</v>
      </c>
      <c r="M35" s="137">
        <v>99.999999999999986</v>
      </c>
      <c r="Q35" s="50"/>
      <c r="R35" s="50"/>
    </row>
    <row r="36" spans="1:19">
      <c r="A36" s="98" t="s">
        <v>169</v>
      </c>
      <c r="B36" s="151">
        <v>4.31711787828434</v>
      </c>
      <c r="C36" s="151">
        <v>4.6710482017438739</v>
      </c>
      <c r="D36" s="151">
        <v>2.6276314197204247</v>
      </c>
      <c r="E36" s="151">
        <v>2.941222819217856</v>
      </c>
      <c r="F36" s="151">
        <v>45.350115385004194</v>
      </c>
      <c r="G36" s="151">
        <v>1.0462661887986215</v>
      </c>
      <c r="H36" s="151">
        <v>1.9069790584037738</v>
      </c>
      <c r="I36" s="151">
        <v>15.807590118632667</v>
      </c>
      <c r="J36" s="151">
        <v>4.2934469469036252</v>
      </c>
      <c r="K36" s="151">
        <v>14.514301897862749</v>
      </c>
      <c r="L36" s="151">
        <v>5.1519115412379257</v>
      </c>
      <c r="M36" s="152">
        <v>0.13994241262498691</v>
      </c>
      <c r="Q36" s="50"/>
      <c r="R36" s="50"/>
    </row>
    <row r="37" spans="1:19">
      <c r="A37" s="98" t="s">
        <v>170</v>
      </c>
      <c r="B37" s="151">
        <v>5.6716798167076341</v>
      </c>
      <c r="C37" s="151">
        <v>7.7150623350106917</v>
      </c>
      <c r="D37" s="151">
        <v>4.2827063373328418</v>
      </c>
      <c r="E37" s="151">
        <v>3.1191413370155998</v>
      </c>
      <c r="F37" s="151">
        <v>23.731781583667814</v>
      </c>
      <c r="G37" s="151">
        <v>1.9127974921511799</v>
      </c>
      <c r="H37" s="151">
        <v>2.9204483262180463</v>
      </c>
      <c r="I37" s="151">
        <v>16.154626927702793</v>
      </c>
      <c r="J37" s="151">
        <v>3.2631787014606548</v>
      </c>
      <c r="K37" s="151">
        <v>31.888895470041383</v>
      </c>
      <c r="L37" s="151">
        <v>3.6223880100242098</v>
      </c>
      <c r="M37" s="152">
        <v>0.53140300442789523</v>
      </c>
      <c r="Q37" s="50"/>
      <c r="R37" s="50"/>
    </row>
    <row r="38" spans="1:19">
      <c r="A38" s="133" t="s">
        <v>171</v>
      </c>
      <c r="B38" s="151">
        <v>6.8843372972754988</v>
      </c>
      <c r="C38" s="151">
        <v>7.6523773372479731</v>
      </c>
      <c r="D38" s="151">
        <v>4.2778688169917887</v>
      </c>
      <c r="E38" s="151">
        <v>3.0050990119122365</v>
      </c>
      <c r="F38" s="151">
        <v>22.223781350145103</v>
      </c>
      <c r="G38" s="151">
        <v>2.364991340674266</v>
      </c>
      <c r="H38" s="151">
        <v>2.4885394923547048</v>
      </c>
      <c r="I38" s="151">
        <v>15.245068825453048</v>
      </c>
      <c r="J38" s="151">
        <v>3.5094887846636551</v>
      </c>
      <c r="K38" s="151">
        <v>32.468700330652631</v>
      </c>
      <c r="L38" s="151">
        <v>4.1576161427995393</v>
      </c>
      <c r="M38" s="152">
        <v>0.39729256533732338</v>
      </c>
      <c r="Q38" s="50"/>
      <c r="R38" s="50"/>
    </row>
    <row r="39" spans="1:19">
      <c r="A39" s="133" t="s">
        <v>172</v>
      </c>
      <c r="B39" s="151">
        <v>2.8462697539419999</v>
      </c>
      <c r="C39" s="151">
        <v>7.9911003863713583</v>
      </c>
      <c r="D39" s="151">
        <v>4.7303811263813138</v>
      </c>
      <c r="E39" s="151">
        <v>1.9167280034578311</v>
      </c>
      <c r="F39" s="151">
        <v>31.21527563669045</v>
      </c>
      <c r="G39" s="151">
        <v>0.87557252755669124</v>
      </c>
      <c r="H39" s="151">
        <v>2.6557494065810094</v>
      </c>
      <c r="I39" s="151">
        <v>15.859614312036868</v>
      </c>
      <c r="J39" s="151">
        <v>2.4857969009263883</v>
      </c>
      <c r="K39" s="151">
        <v>30.586168650274864</v>
      </c>
      <c r="L39" s="151">
        <v>3.5677242036300418</v>
      </c>
      <c r="M39" s="152">
        <v>1.2195506306178108</v>
      </c>
      <c r="Q39" s="50"/>
      <c r="R39" s="50"/>
    </row>
    <row r="40" spans="1:19">
      <c r="A40" s="133" t="s">
        <v>173</v>
      </c>
      <c r="B40" s="151">
        <v>5.4856330765572876</v>
      </c>
      <c r="C40" s="151">
        <v>7.6180941539692011</v>
      </c>
      <c r="D40" s="151">
        <v>3.9256087626320566</v>
      </c>
      <c r="E40" s="151">
        <v>4.3404615549487646</v>
      </c>
      <c r="F40" s="151">
        <v>20.707879070257746</v>
      </c>
      <c r="G40" s="151">
        <v>1.8300099620520409</v>
      </c>
      <c r="H40" s="151">
        <v>4.0289132708350248</v>
      </c>
      <c r="I40" s="151">
        <v>18.27377126589078</v>
      </c>
      <c r="J40" s="151">
        <v>3.3922510478543231</v>
      </c>
      <c r="K40" s="151">
        <v>31.760435579492896</v>
      </c>
      <c r="L40" s="151">
        <v>2.5625510181419462</v>
      </c>
      <c r="M40" s="152">
        <v>9.6238956633301278</v>
      </c>
      <c r="Q40" s="50"/>
      <c r="R40" s="50"/>
    </row>
    <row r="41" spans="1:19">
      <c r="A41" s="98" t="s">
        <v>174</v>
      </c>
      <c r="B41" s="151">
        <v>2.6548532449745985</v>
      </c>
      <c r="C41" s="151">
        <v>6.9641266830748467</v>
      </c>
      <c r="D41" s="151">
        <v>2.5240259735718547</v>
      </c>
      <c r="E41" s="151">
        <v>3.614784613838725</v>
      </c>
      <c r="F41" s="151">
        <v>49.494314439884967</v>
      </c>
      <c r="G41" s="151">
        <v>0.95375371818748866</v>
      </c>
      <c r="H41" s="151">
        <v>2.0634358520470353</v>
      </c>
      <c r="I41" s="151">
        <v>12.62562226937575</v>
      </c>
      <c r="J41" s="151">
        <v>3.7359346283942045</v>
      </c>
      <c r="K41" s="151">
        <v>14.029150332815851</v>
      </c>
      <c r="L41" s="151">
        <v>3.8640242174065262</v>
      </c>
      <c r="M41" s="152">
        <v>0.54769641002137592</v>
      </c>
      <c r="Q41" s="50"/>
      <c r="R41" s="50"/>
    </row>
    <row r="42" spans="1:19">
      <c r="A42" s="133" t="s">
        <v>175</v>
      </c>
      <c r="B42" s="151">
        <v>2.7928886302282163</v>
      </c>
      <c r="C42" s="151">
        <v>7.128333069153026</v>
      </c>
      <c r="D42" s="151">
        <v>2.8471468612072641</v>
      </c>
      <c r="E42" s="151">
        <v>2.8942426509168029</v>
      </c>
      <c r="F42" s="151">
        <v>46.494002064471715</v>
      </c>
      <c r="G42" s="151">
        <v>1.1394021131157863</v>
      </c>
      <c r="H42" s="151">
        <v>2.1460352892542383</v>
      </c>
      <c r="I42" s="151">
        <v>10.856436783396749</v>
      </c>
      <c r="J42" s="151">
        <v>4.3683513293361607</v>
      </c>
      <c r="K42" s="151">
        <v>18.254775693852665</v>
      </c>
      <c r="L42" s="151">
        <v>3.9255324442662469</v>
      </c>
      <c r="M42" s="152">
        <v>0.82582902079086329</v>
      </c>
      <c r="Q42" s="50"/>
      <c r="R42" s="50"/>
    </row>
    <row r="43" spans="1:19">
      <c r="A43" s="133" t="s">
        <v>176</v>
      </c>
      <c r="B43" s="151">
        <v>2.487705588766747</v>
      </c>
      <c r="C43" s="151">
        <v>6.765288446655247</v>
      </c>
      <c r="D43" s="151">
        <v>2.1327575081815731</v>
      </c>
      <c r="E43" s="151">
        <v>4.4872920515549346</v>
      </c>
      <c r="F43" s="151">
        <v>53.127405915091266</v>
      </c>
      <c r="G43" s="151">
        <v>0.72895125877463163</v>
      </c>
      <c r="H43" s="151">
        <v>1.9634158295875428</v>
      </c>
      <c r="I43" s="151">
        <v>14.767936810805327</v>
      </c>
      <c r="J43" s="151">
        <v>2.9701384587024244</v>
      </c>
      <c r="K43" s="151">
        <v>8.9123220055741008</v>
      </c>
      <c r="L43" s="151">
        <v>3.7895436344877789</v>
      </c>
      <c r="M43" s="152">
        <v>3.2726600810624453</v>
      </c>
      <c r="Q43" s="50"/>
      <c r="R43" s="50"/>
    </row>
    <row r="44" spans="1:19">
      <c r="A44" s="155" t="s">
        <v>177</v>
      </c>
      <c r="B44" s="154">
        <v>7.2600698311620482</v>
      </c>
      <c r="C44" s="154">
        <v>10.1851483110782</v>
      </c>
      <c r="D44" s="154">
        <v>6.3857087156107823</v>
      </c>
      <c r="E44" s="154">
        <v>3.2912720465332468</v>
      </c>
      <c r="F44" s="154">
        <v>35.2519870050333</v>
      </c>
      <c r="G44" s="154">
        <v>1.8844090724246823</v>
      </c>
      <c r="H44" s="154">
        <v>2.8914317610919489</v>
      </c>
      <c r="I44" s="154">
        <v>12.415950983045473</v>
      </c>
      <c r="J44" s="154">
        <v>4.5118238426942563</v>
      </c>
      <c r="K44" s="154">
        <v>17.751983958482001</v>
      </c>
      <c r="L44" s="154">
        <v>4.5559231632975186</v>
      </c>
      <c r="M44" s="156">
        <v>1.2057150954141729</v>
      </c>
      <c r="Q44" s="50"/>
      <c r="R44" s="50"/>
    </row>
    <row r="45" spans="1:19" s="17" customFormat="1">
      <c r="A45" s="145"/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50"/>
      <c r="N45" s="157"/>
      <c r="O45" s="157"/>
      <c r="P45" s="157"/>
      <c r="Q45" s="158"/>
      <c r="R45" s="158"/>
      <c r="S45" s="49"/>
    </row>
    <row r="46" spans="1:19">
      <c r="A46" s="265" t="s">
        <v>76</v>
      </c>
      <c r="B46" s="262" t="s">
        <v>140</v>
      </c>
      <c r="C46" s="262" t="s">
        <v>141</v>
      </c>
      <c r="D46" s="262"/>
      <c r="E46" s="264" t="s">
        <v>143</v>
      </c>
      <c r="F46" s="262" t="s">
        <v>144</v>
      </c>
      <c r="G46" s="262" t="s">
        <v>147</v>
      </c>
      <c r="H46" s="262" t="s">
        <v>148</v>
      </c>
      <c r="I46" s="262" t="s">
        <v>149</v>
      </c>
      <c r="J46" s="262" t="s">
        <v>150</v>
      </c>
      <c r="K46" s="262" t="s">
        <v>152</v>
      </c>
      <c r="L46" s="262" t="s">
        <v>155</v>
      </c>
      <c r="M46" s="261" t="s">
        <v>246</v>
      </c>
      <c r="Q46" s="50"/>
      <c r="R46" s="50"/>
    </row>
    <row r="47" spans="1:19" ht="33.75">
      <c r="A47" s="265"/>
      <c r="B47" s="262"/>
      <c r="C47" s="160" t="s">
        <v>241</v>
      </c>
      <c r="D47" s="141" t="s">
        <v>242</v>
      </c>
      <c r="E47" s="264"/>
      <c r="F47" s="262"/>
      <c r="G47" s="262"/>
      <c r="H47" s="262"/>
      <c r="I47" s="262"/>
      <c r="J47" s="262"/>
      <c r="K47" s="262"/>
      <c r="L47" s="262"/>
      <c r="M47" s="261"/>
      <c r="Q47" s="50"/>
      <c r="R47" s="50"/>
    </row>
    <row r="48" spans="1:19">
      <c r="A48" s="98" t="s">
        <v>248</v>
      </c>
      <c r="B48" s="151">
        <v>4.2362818409273872</v>
      </c>
      <c r="C48" s="151">
        <v>14.855973496564598</v>
      </c>
      <c r="D48" s="151">
        <v>10.806022725867384</v>
      </c>
      <c r="E48" s="151">
        <v>2.3484726290743443</v>
      </c>
      <c r="F48" s="151">
        <v>24.279182031769754</v>
      </c>
      <c r="G48" s="151">
        <v>3.4576955335439989</v>
      </c>
      <c r="H48" s="151">
        <v>4.1049801559542711</v>
      </c>
      <c r="I48" s="151">
        <v>17.13148665969436</v>
      </c>
      <c r="J48" s="151">
        <v>5.207101529625394</v>
      </c>
      <c r="K48" s="151">
        <v>20.276466686597459</v>
      </c>
      <c r="L48" s="151">
        <v>4.1023594362484328</v>
      </c>
      <c r="M48" s="152">
        <v>100</v>
      </c>
      <c r="Q48" s="50"/>
      <c r="R48" s="50"/>
    </row>
    <row r="49" spans="1:35">
      <c r="A49" s="98" t="s">
        <v>249</v>
      </c>
      <c r="B49" s="151">
        <v>5.525743148189501</v>
      </c>
      <c r="C49" s="151">
        <v>8.1077132989669085</v>
      </c>
      <c r="D49" s="151">
        <v>2.1783975111202998</v>
      </c>
      <c r="E49" s="151">
        <v>3.3128763929375471</v>
      </c>
      <c r="F49" s="151">
        <v>39.606164005751289</v>
      </c>
      <c r="G49" s="151">
        <v>1.4868431324753761</v>
      </c>
      <c r="H49" s="151">
        <v>2.5019337381526401</v>
      </c>
      <c r="I49" s="151">
        <v>13.43611986860161</v>
      </c>
      <c r="J49" s="151">
        <v>4.1022418100107521</v>
      </c>
      <c r="K49" s="151">
        <v>17.843744169244715</v>
      </c>
      <c r="L49" s="151">
        <v>4.3320344770916162</v>
      </c>
      <c r="M49" s="152">
        <v>24.351547251469864</v>
      </c>
      <c r="Q49" s="50"/>
      <c r="R49" s="50"/>
    </row>
    <row r="50" spans="1:35" ht="45">
      <c r="A50" s="153" t="s">
        <v>247</v>
      </c>
      <c r="B50" s="151">
        <v>0.14420419980986551</v>
      </c>
      <c r="C50" s="151">
        <v>6.3258994782712463E-2</v>
      </c>
      <c r="D50" s="151">
        <v>4.7517298910275917E-2</v>
      </c>
      <c r="E50" s="151">
        <v>0.1635101619435603</v>
      </c>
      <c r="F50" s="151">
        <v>0.18908355097624363</v>
      </c>
      <c r="G50" s="151">
        <v>4.9842913643723709E-2</v>
      </c>
      <c r="H50" s="151">
        <v>7.0646355264908617E-2</v>
      </c>
      <c r="I50" s="151">
        <v>9.0908362850923616E-2</v>
      </c>
      <c r="J50" s="151">
        <v>9.1316704567590889E-2</v>
      </c>
      <c r="K50" s="151">
        <v>0.10200435851104722</v>
      </c>
      <c r="L50" s="151">
        <v>0.1224005063835404</v>
      </c>
      <c r="M50" s="152">
        <v>0.11591109789625161</v>
      </c>
      <c r="Q50" s="50"/>
      <c r="R50" s="50"/>
    </row>
    <row r="51" spans="1:35" ht="56.25">
      <c r="A51" s="159" t="s">
        <v>250</v>
      </c>
      <c r="B51" s="151">
        <v>0.14420419980986551</v>
      </c>
      <c r="C51" s="151">
        <v>6.3258994782712463E-2</v>
      </c>
      <c r="D51" s="151">
        <v>4.7517298910275917E-2</v>
      </c>
      <c r="E51" s="151">
        <v>0.1635101619435603</v>
      </c>
      <c r="F51" s="151">
        <v>0.18908355097624363</v>
      </c>
      <c r="G51" s="151">
        <v>4.9842913643723709E-2</v>
      </c>
      <c r="H51" s="151">
        <v>7.0646355264908617E-2</v>
      </c>
      <c r="I51" s="151">
        <v>9.0908362850923616E-2</v>
      </c>
      <c r="J51" s="151">
        <v>9.1316704567590889E-2</v>
      </c>
      <c r="K51" s="151">
        <v>0.10200435851104722</v>
      </c>
      <c r="L51" s="151">
        <v>0.1224005063835404</v>
      </c>
      <c r="M51" s="152">
        <v>0.11591109789625161</v>
      </c>
      <c r="Q51" s="50"/>
      <c r="R51" s="50"/>
    </row>
    <row r="52" spans="1:35">
      <c r="A52" s="145"/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7"/>
      <c r="Q52" s="50"/>
      <c r="R52" s="50"/>
    </row>
    <row r="53" spans="1:35" ht="12">
      <c r="A53" s="144" t="s">
        <v>244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</row>
    <row r="54" spans="1:35">
      <c r="A54" s="61" t="s">
        <v>285</v>
      </c>
      <c r="C54" s="23" t="s">
        <v>139</v>
      </c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T54" s="51"/>
      <c r="V54" s="38"/>
      <c r="Z54" s="17"/>
      <c r="AA54" s="17"/>
      <c r="AB54" s="17"/>
      <c r="AC54" s="17"/>
      <c r="AD54" s="17"/>
      <c r="AE54" s="17"/>
      <c r="AF54" s="17"/>
      <c r="AG54" s="17"/>
      <c r="AH54" s="17"/>
      <c r="AI54" s="17"/>
    </row>
    <row r="55" spans="1:35" ht="56.25">
      <c r="A55" s="139" t="s">
        <v>167</v>
      </c>
      <c r="B55" s="129" t="s">
        <v>239</v>
      </c>
      <c r="C55" s="138" t="s">
        <v>243</v>
      </c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2"/>
      <c r="T55" s="52"/>
    </row>
    <row r="56" spans="1:35" ht="11.25">
      <c r="A56" s="96" t="s">
        <v>168</v>
      </c>
      <c r="B56" s="130">
        <v>105864.7634618481</v>
      </c>
      <c r="C56" s="135">
        <v>180217.59457709861</v>
      </c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2"/>
      <c r="T56" s="52"/>
    </row>
    <row r="57" spans="1:35" ht="11.25">
      <c r="A57" s="98" t="s">
        <v>169</v>
      </c>
      <c r="B57" s="132">
        <v>2402.8300603399853</v>
      </c>
      <c r="C57" s="142">
        <v>3170.017342294349</v>
      </c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2"/>
      <c r="T57" s="52"/>
    </row>
    <row r="58" spans="1:35" ht="11.25">
      <c r="A58" s="98" t="s">
        <v>170</v>
      </c>
      <c r="B58" s="132">
        <v>1911.1681825098838</v>
      </c>
      <c r="C58" s="143">
        <v>2479.6678644969102</v>
      </c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2"/>
      <c r="T58" s="52"/>
    </row>
    <row r="59" spans="1:35">
      <c r="A59" s="133" t="s">
        <v>171</v>
      </c>
      <c r="B59" s="134"/>
      <c r="C59" s="136">
        <v>1317.7029525961811</v>
      </c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2"/>
      <c r="T59" s="52"/>
    </row>
    <row r="60" spans="1:35">
      <c r="A60" s="133" t="s">
        <v>172</v>
      </c>
      <c r="B60" s="134"/>
      <c r="C60" s="136">
        <v>523.51358693840166</v>
      </c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2"/>
      <c r="T60" s="52"/>
    </row>
    <row r="61" spans="1:35" ht="11.25">
      <c r="A61" s="133" t="s">
        <v>173</v>
      </c>
      <c r="B61" s="131"/>
      <c r="C61" s="136">
        <v>638.4513249623277</v>
      </c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2"/>
      <c r="T61" s="52"/>
    </row>
    <row r="62" spans="1:35" ht="11.25">
      <c r="A62" s="98" t="s">
        <v>174</v>
      </c>
      <c r="B62" s="132">
        <v>3987.666351340536</v>
      </c>
      <c r="C62" s="143">
        <v>6144.3889352604665</v>
      </c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2"/>
      <c r="T62" s="52"/>
    </row>
    <row r="63" spans="1:35">
      <c r="A63" s="133" t="s">
        <v>175</v>
      </c>
      <c r="B63" s="134"/>
      <c r="C63" s="136">
        <v>3365.2597619403996</v>
      </c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2"/>
      <c r="T63" s="52"/>
    </row>
    <row r="64" spans="1:35" ht="11.25">
      <c r="A64" s="133" t="s">
        <v>176</v>
      </c>
      <c r="B64" s="131"/>
      <c r="C64" s="136">
        <v>2779.1291733200669</v>
      </c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2"/>
      <c r="T64" s="52"/>
    </row>
    <row r="65" spans="1:20" ht="11.25">
      <c r="A65" s="98" t="s">
        <v>177</v>
      </c>
      <c r="B65" s="132">
        <v>5758.0439233636698</v>
      </c>
      <c r="C65" s="143">
        <v>9095.1451057578161</v>
      </c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2"/>
      <c r="T65" s="52"/>
    </row>
    <row r="67" spans="1:20">
      <c r="A67" s="162" t="s">
        <v>286</v>
      </c>
    </row>
    <row r="71" spans="1:20"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2"/>
      <c r="T71" s="52"/>
    </row>
    <row r="72" spans="1:20" ht="11.25"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</row>
    <row r="73" spans="1:20" ht="11.25"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</row>
    <row r="74" spans="1:20" ht="11.25"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</row>
    <row r="75" spans="1:20" ht="11.25"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</row>
    <row r="76" spans="1:20" ht="11.25"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</row>
    <row r="77" spans="1:20" ht="11.25"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</row>
    <row r="78" spans="1:20" ht="11.25"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</row>
    <row r="79" spans="1:20" ht="11.25"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</row>
    <row r="80" spans="1:20" ht="11.25"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</row>
    <row r="81" spans="2:18" ht="11.25"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</row>
    <row r="82" spans="2:18" ht="11.25"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</row>
    <row r="83" spans="2:18" ht="11.25"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</row>
    <row r="84" spans="2:18" ht="11.25"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</row>
    <row r="85" spans="2:18" ht="11.25"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</row>
    <row r="86" spans="2:18" ht="11.25"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</row>
    <row r="87" spans="2:18" ht="11.25"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</row>
    <row r="88" spans="2:18" ht="11.25"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</row>
    <row r="89" spans="2:18" ht="11.25"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</row>
    <row r="90" spans="2:18" ht="11.25"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</row>
    <row r="91" spans="2:18" ht="11.25"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</row>
    <row r="92" spans="2:18" ht="11.25"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</row>
    <row r="93" spans="2:18" ht="11.25"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</row>
    <row r="94" spans="2:18" ht="11.25"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</row>
    <row r="95" spans="2:18" ht="11.25"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</row>
    <row r="96" spans="2:18" ht="11.25"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</row>
    <row r="97" spans="2:18" ht="11.25">
      <c r="B97" s="50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</row>
    <row r="98" spans="2:18" ht="11.25">
      <c r="B98" s="50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</row>
    <row r="99" spans="2:18" ht="11.25">
      <c r="B99" s="50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</row>
    <row r="100" spans="2:18" ht="11.25">
      <c r="B100" s="50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</row>
    <row r="101" spans="2:18" ht="11.25"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</row>
    <row r="102" spans="2:18" ht="11.25"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</row>
    <row r="103" spans="2:18" ht="11.25"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</row>
    <row r="104" spans="2:18" ht="11.25"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</row>
    <row r="105" spans="2:18" ht="11.25"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</row>
    <row r="106" spans="2:18" ht="11.25"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</row>
    <row r="107" spans="2:18" ht="11.25"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</row>
    <row r="108" spans="2:18" ht="11.25"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</row>
    <row r="109" spans="2:18" ht="11.25"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</row>
    <row r="110" spans="2:18" ht="11.25"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</row>
    <row r="111" spans="2:18" ht="11.25"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</row>
    <row r="112" spans="2:18" ht="11.25"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</row>
    <row r="113" spans="2:18" ht="11.25"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</row>
    <row r="114" spans="2:18" ht="11.25"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</row>
    <row r="115" spans="2:18" ht="11.25"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</row>
    <row r="116" spans="2:18" ht="11.25"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</row>
    <row r="117" spans="2:18" ht="11.25"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</row>
    <row r="118" spans="2:18" ht="11.25"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</row>
    <row r="119" spans="2:18" ht="11.25"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</row>
    <row r="120" spans="2:18" ht="11.25"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</row>
    <row r="121" spans="2:18" ht="11.25"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</row>
    <row r="122" spans="2:18" ht="11.25"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</row>
    <row r="123" spans="2:18" ht="11.25"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</row>
    <row r="124" spans="2:18" ht="11.25"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</row>
    <row r="125" spans="2:18" ht="11.25"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</row>
    <row r="126" spans="2:18" ht="11.25"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</row>
  </sheetData>
  <mergeCells count="36">
    <mergeCell ref="A46:A47"/>
    <mergeCell ref="L33:L34"/>
    <mergeCell ref="M33:M34"/>
    <mergeCell ref="B46:B47"/>
    <mergeCell ref="C46:D46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G33:G34"/>
    <mergeCell ref="H33:H34"/>
    <mergeCell ref="I33:I34"/>
    <mergeCell ref="J33:J34"/>
    <mergeCell ref="K33:K34"/>
    <mergeCell ref="A33:A34"/>
    <mergeCell ref="B33:B34"/>
    <mergeCell ref="C33:D33"/>
    <mergeCell ref="E33:E34"/>
    <mergeCell ref="F33:F34"/>
    <mergeCell ref="C18:D18"/>
    <mergeCell ref="B18:B19"/>
    <mergeCell ref="A18:A19"/>
    <mergeCell ref="E18:E19"/>
    <mergeCell ref="F18:F19"/>
    <mergeCell ref="L18:L19"/>
    <mergeCell ref="M18:M19"/>
    <mergeCell ref="G18:G19"/>
    <mergeCell ref="H18:H19"/>
    <mergeCell ref="I18:I19"/>
    <mergeCell ref="J18:J19"/>
    <mergeCell ref="K18:K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08"/>
  <sheetViews>
    <sheetView zoomScale="80" zoomScaleNormal="80" workbookViewId="0">
      <selection sqref="A1:XFD1048576"/>
    </sheetView>
  </sheetViews>
  <sheetFormatPr defaultRowHeight="12.75"/>
  <cols>
    <col min="1" max="1" width="9.140625" style="167"/>
    <col min="2" max="2" width="11.85546875" style="167" customWidth="1"/>
    <col min="3" max="3" width="11.28515625" style="167" customWidth="1"/>
    <col min="4" max="4" width="10.42578125" style="187" customWidth="1"/>
    <col min="5" max="5" width="12.85546875" style="187" customWidth="1"/>
    <col min="6" max="6" width="11.7109375" style="167" customWidth="1"/>
    <col min="7" max="7" width="16.140625" style="167" customWidth="1"/>
    <col min="8" max="8" width="18" style="167" customWidth="1"/>
    <col min="9" max="9" width="16.5703125" style="167" customWidth="1"/>
    <col min="10" max="10" width="15.140625" style="167" customWidth="1"/>
    <col min="11" max="11" width="20.28515625" style="167" customWidth="1"/>
    <col min="12" max="12" width="16.42578125" style="167" customWidth="1"/>
    <col min="13" max="13" width="17.28515625" style="167" customWidth="1"/>
    <col min="14" max="14" width="17.140625" style="167" customWidth="1"/>
    <col min="15" max="15" width="22.5703125" style="167" customWidth="1"/>
    <col min="16" max="16" width="12.42578125" style="167" customWidth="1"/>
    <col min="17" max="17" width="14.85546875" style="167" customWidth="1"/>
    <col min="18" max="18" width="14" style="167" customWidth="1"/>
    <col min="19" max="16384" width="9.140625" style="167"/>
  </cols>
  <sheetData>
    <row r="1" spans="1:20">
      <c r="A1" s="186" t="s">
        <v>126</v>
      </c>
      <c r="Q1" s="188"/>
      <c r="R1" s="188"/>
      <c r="T1" s="187"/>
    </row>
    <row r="2" spans="1:20">
      <c r="Q2" s="188"/>
      <c r="R2" s="188"/>
    </row>
    <row r="3" spans="1:20" s="174" customFormat="1" ht="76.5" customHeight="1">
      <c r="A3" s="189" t="s">
        <v>50</v>
      </c>
      <c r="B3" s="189" t="s">
        <v>179</v>
      </c>
      <c r="C3" s="190" t="s">
        <v>51</v>
      </c>
      <c r="D3" s="55" t="s">
        <v>181</v>
      </c>
      <c r="E3" s="55" t="s">
        <v>293</v>
      </c>
      <c r="F3" s="55" t="s">
        <v>287</v>
      </c>
      <c r="G3" s="189" t="s">
        <v>118</v>
      </c>
      <c r="H3" s="189" t="s">
        <v>294</v>
      </c>
      <c r="I3" s="189" t="s">
        <v>295</v>
      </c>
      <c r="J3" s="189" t="s">
        <v>119</v>
      </c>
      <c r="K3" s="169"/>
      <c r="L3" s="175"/>
      <c r="M3" s="175"/>
      <c r="N3" s="175"/>
      <c r="O3" s="175"/>
      <c r="P3" s="176"/>
      <c r="Q3" s="176"/>
    </row>
    <row r="4" spans="1:20" s="186" customFormat="1">
      <c r="A4" s="191" t="s">
        <v>56</v>
      </c>
      <c r="B4" s="163">
        <v>199231</v>
      </c>
      <c r="C4" s="191">
        <f t="shared" ref="C4:J4" si="0">SUM(C5:C13)</f>
        <v>3806.52</v>
      </c>
      <c r="D4" s="191">
        <f t="shared" si="0"/>
        <v>22034</v>
      </c>
      <c r="E4" s="163">
        <f t="shared" si="0"/>
        <v>17097</v>
      </c>
      <c r="F4" s="191">
        <f t="shared" ref="F4" si="1">SUM(F5:F13)</f>
        <v>0</v>
      </c>
      <c r="G4" s="163">
        <f t="shared" si="0"/>
        <v>39131</v>
      </c>
      <c r="H4" s="163">
        <f t="shared" si="0"/>
        <v>71643</v>
      </c>
      <c r="I4" s="163">
        <f t="shared" si="0"/>
        <v>214929</v>
      </c>
      <c r="J4" s="163">
        <f t="shared" si="0"/>
        <v>254060</v>
      </c>
      <c r="K4" s="191"/>
      <c r="L4" s="192"/>
      <c r="M4" s="192"/>
      <c r="N4" s="192"/>
      <c r="O4" s="192"/>
      <c r="P4" s="192"/>
      <c r="Q4" s="192"/>
    </row>
    <row r="5" spans="1:20">
      <c r="A5" s="181" t="s">
        <v>1</v>
      </c>
      <c r="B5" s="163">
        <v>270</v>
      </c>
      <c r="C5" s="5">
        <v>43.23</v>
      </c>
      <c r="D5" s="193">
        <v>0</v>
      </c>
      <c r="E5" s="163">
        <v>32</v>
      </c>
      <c r="F5" s="194">
        <v>0</v>
      </c>
      <c r="G5" s="163">
        <f t="shared" ref="G5:G13" si="2">SUM(D5:F5)</f>
        <v>32</v>
      </c>
      <c r="H5" s="163">
        <v>163</v>
      </c>
      <c r="I5" s="163">
        <f t="shared" ref="I5:I40" si="3">H5*3</f>
        <v>489</v>
      </c>
      <c r="J5" s="163">
        <f t="shared" ref="J5:J40" si="4">G5+I5</f>
        <v>521</v>
      </c>
      <c r="K5" s="181"/>
      <c r="L5" s="178"/>
      <c r="M5" s="178"/>
      <c r="N5" s="178"/>
      <c r="O5" s="178"/>
      <c r="P5" s="178"/>
      <c r="Q5" s="178"/>
    </row>
    <row r="6" spans="1:20">
      <c r="A6" s="181" t="s">
        <v>2</v>
      </c>
      <c r="B6" s="163">
        <v>86436</v>
      </c>
      <c r="C6" s="5">
        <v>1630.38</v>
      </c>
      <c r="D6" s="195">
        <v>6904</v>
      </c>
      <c r="E6" s="163">
        <v>6523</v>
      </c>
      <c r="F6" s="194">
        <v>0</v>
      </c>
      <c r="G6" s="163">
        <f t="shared" si="2"/>
        <v>13427</v>
      </c>
      <c r="H6" s="163">
        <v>29189</v>
      </c>
      <c r="I6" s="163">
        <f t="shared" si="3"/>
        <v>87567</v>
      </c>
      <c r="J6" s="163">
        <f t="shared" si="4"/>
        <v>100994</v>
      </c>
      <c r="K6" s="181"/>
      <c r="L6" s="178"/>
      <c r="M6" s="178"/>
      <c r="N6" s="178"/>
      <c r="O6" s="178"/>
      <c r="P6" s="178"/>
      <c r="Q6" s="178"/>
    </row>
    <row r="7" spans="1:20">
      <c r="A7" s="181" t="s">
        <v>3</v>
      </c>
      <c r="B7" s="163">
        <v>16992</v>
      </c>
      <c r="C7" s="5">
        <v>475.61</v>
      </c>
      <c r="D7" s="195">
        <v>1750</v>
      </c>
      <c r="E7" s="163">
        <v>1157</v>
      </c>
      <c r="F7" s="194">
        <v>0</v>
      </c>
      <c r="G7" s="163">
        <f t="shared" si="2"/>
        <v>2907</v>
      </c>
      <c r="H7" s="163">
        <v>6932</v>
      </c>
      <c r="I7" s="163">
        <f t="shared" si="3"/>
        <v>20796</v>
      </c>
      <c r="J7" s="163">
        <f t="shared" si="4"/>
        <v>23703</v>
      </c>
      <c r="K7" s="181"/>
      <c r="L7" s="178"/>
      <c r="M7" s="178"/>
      <c r="N7" s="178"/>
      <c r="O7" s="178"/>
      <c r="P7" s="178"/>
      <c r="Q7" s="178"/>
    </row>
    <row r="8" spans="1:20">
      <c r="A8" s="181" t="s">
        <v>4</v>
      </c>
      <c r="B8" s="163">
        <v>8423</v>
      </c>
      <c r="C8" s="5">
        <v>255.28</v>
      </c>
      <c r="D8" s="193">
        <v>984</v>
      </c>
      <c r="E8" s="163">
        <v>1151</v>
      </c>
      <c r="F8" s="194">
        <v>0</v>
      </c>
      <c r="G8" s="163">
        <f t="shared" si="2"/>
        <v>2135</v>
      </c>
      <c r="H8" s="163">
        <v>4447</v>
      </c>
      <c r="I8" s="163">
        <f t="shared" si="3"/>
        <v>13341</v>
      </c>
      <c r="J8" s="163">
        <f t="shared" si="4"/>
        <v>15476</v>
      </c>
      <c r="K8" s="181"/>
      <c r="L8" s="178"/>
      <c r="M8" s="178"/>
      <c r="N8" s="178"/>
      <c r="O8" s="178"/>
      <c r="P8" s="178"/>
      <c r="Q8" s="178"/>
    </row>
    <row r="9" spans="1:20">
      <c r="A9" s="181" t="s">
        <v>5</v>
      </c>
      <c r="B9" s="163">
        <v>1459</v>
      </c>
      <c r="C9" s="5">
        <v>30.27</v>
      </c>
      <c r="D9" s="193">
        <v>24</v>
      </c>
      <c r="E9" s="163">
        <v>359</v>
      </c>
      <c r="F9" s="194">
        <v>0</v>
      </c>
      <c r="G9" s="163">
        <f t="shared" si="2"/>
        <v>383</v>
      </c>
      <c r="H9" s="163">
        <v>679</v>
      </c>
      <c r="I9" s="163">
        <f t="shared" si="3"/>
        <v>2037</v>
      </c>
      <c r="J9" s="163">
        <f t="shared" si="4"/>
        <v>2420</v>
      </c>
      <c r="K9" s="181"/>
      <c r="L9" s="178"/>
      <c r="M9" s="178"/>
      <c r="N9" s="178"/>
      <c r="O9" s="178"/>
      <c r="P9" s="178"/>
      <c r="Q9" s="178"/>
    </row>
    <row r="10" spans="1:20">
      <c r="A10" s="181" t="s">
        <v>6</v>
      </c>
      <c r="B10" s="163">
        <v>32977</v>
      </c>
      <c r="C10" s="5">
        <v>476.2</v>
      </c>
      <c r="D10" s="195">
        <v>9613</v>
      </c>
      <c r="E10" s="163">
        <v>5410</v>
      </c>
      <c r="F10" s="194">
        <v>0</v>
      </c>
      <c r="G10" s="163">
        <f t="shared" si="2"/>
        <v>15023</v>
      </c>
      <c r="H10" s="163">
        <v>13060</v>
      </c>
      <c r="I10" s="163">
        <f t="shared" si="3"/>
        <v>39180</v>
      </c>
      <c r="J10" s="163">
        <f t="shared" si="4"/>
        <v>54203</v>
      </c>
      <c r="K10" s="181"/>
      <c r="L10" s="178"/>
      <c r="M10" s="178"/>
      <c r="N10" s="178"/>
      <c r="O10" s="178"/>
      <c r="P10" s="178"/>
      <c r="Q10" s="178"/>
    </row>
    <row r="11" spans="1:20">
      <c r="A11" s="181" t="s">
        <v>7</v>
      </c>
      <c r="B11" s="163">
        <v>51390</v>
      </c>
      <c r="C11" s="5">
        <v>841.58</v>
      </c>
      <c r="D11" s="195">
        <v>2739</v>
      </c>
      <c r="E11" s="163">
        <v>2460</v>
      </c>
      <c r="F11" s="194">
        <v>0</v>
      </c>
      <c r="G11" s="163">
        <f t="shared" si="2"/>
        <v>5199</v>
      </c>
      <c r="H11" s="163">
        <v>16776</v>
      </c>
      <c r="I11" s="163">
        <f t="shared" si="3"/>
        <v>50328</v>
      </c>
      <c r="J11" s="163">
        <f t="shared" si="4"/>
        <v>55527</v>
      </c>
      <c r="K11" s="181"/>
      <c r="L11" s="178"/>
      <c r="M11" s="178"/>
      <c r="N11" s="178"/>
      <c r="O11" s="178"/>
      <c r="P11" s="178"/>
      <c r="Q11" s="178"/>
    </row>
    <row r="12" spans="1:20">
      <c r="A12" s="181" t="s">
        <v>8</v>
      </c>
      <c r="B12" s="163">
        <v>826</v>
      </c>
      <c r="C12" s="5">
        <v>14.2</v>
      </c>
      <c r="D12" s="193"/>
      <c r="E12" s="163"/>
      <c r="F12" s="194">
        <v>0</v>
      </c>
      <c r="G12" s="163">
        <f t="shared" si="2"/>
        <v>0</v>
      </c>
      <c r="H12" s="163">
        <v>261</v>
      </c>
      <c r="I12" s="163">
        <f t="shared" si="3"/>
        <v>783</v>
      </c>
      <c r="J12" s="163">
        <f t="shared" si="4"/>
        <v>783</v>
      </c>
      <c r="K12" s="181"/>
      <c r="L12" s="178"/>
      <c r="M12" s="178"/>
      <c r="N12" s="178"/>
      <c r="O12" s="178"/>
      <c r="P12" s="178"/>
      <c r="Q12" s="178"/>
    </row>
    <row r="13" spans="1:20">
      <c r="A13" s="181" t="s">
        <v>9</v>
      </c>
      <c r="B13" s="163">
        <v>458</v>
      </c>
      <c r="C13" s="5">
        <v>39.770000000000003</v>
      </c>
      <c r="D13" s="193">
        <v>20</v>
      </c>
      <c r="E13" s="163">
        <v>5</v>
      </c>
      <c r="F13" s="194">
        <v>0</v>
      </c>
      <c r="G13" s="163">
        <f t="shared" si="2"/>
        <v>25</v>
      </c>
      <c r="H13" s="163">
        <v>136</v>
      </c>
      <c r="I13" s="163">
        <f t="shared" si="3"/>
        <v>408</v>
      </c>
      <c r="J13" s="163">
        <f t="shared" si="4"/>
        <v>433</v>
      </c>
      <c r="K13" s="181"/>
      <c r="L13" s="178"/>
      <c r="M13" s="178"/>
      <c r="N13" s="178"/>
      <c r="O13" s="178"/>
      <c r="P13" s="178"/>
      <c r="Q13" s="178"/>
    </row>
    <row r="14" spans="1:20" s="186" customFormat="1">
      <c r="A14" s="185" t="s">
        <v>57</v>
      </c>
      <c r="B14" s="163">
        <v>308975</v>
      </c>
      <c r="C14" s="191">
        <f t="shared" ref="C14:J14" si="5">SUM(C15:C53)</f>
        <v>4984.92</v>
      </c>
      <c r="D14" s="191">
        <f t="shared" si="5"/>
        <v>189939</v>
      </c>
      <c r="E14" s="163">
        <f t="shared" si="5"/>
        <v>88611</v>
      </c>
      <c r="F14" s="191">
        <f t="shared" ref="F14" si="6">SUM(F15:F53)</f>
        <v>7635</v>
      </c>
      <c r="G14" s="163">
        <f t="shared" si="5"/>
        <v>286185</v>
      </c>
      <c r="H14" s="163">
        <f t="shared" si="5"/>
        <v>113290</v>
      </c>
      <c r="I14" s="163">
        <f t="shared" si="5"/>
        <v>339870</v>
      </c>
      <c r="J14" s="163">
        <f t="shared" si="5"/>
        <v>626055</v>
      </c>
      <c r="K14" s="185"/>
      <c r="L14" s="192"/>
      <c r="M14" s="192"/>
      <c r="N14" s="192"/>
      <c r="O14" s="192"/>
      <c r="P14" s="192"/>
      <c r="Q14" s="192"/>
    </row>
    <row r="15" spans="1:20">
      <c r="A15" s="181" t="s">
        <v>11</v>
      </c>
      <c r="B15" s="163">
        <v>185</v>
      </c>
      <c r="C15" s="5">
        <v>13.5</v>
      </c>
      <c r="D15" s="193"/>
      <c r="E15" s="163">
        <v>34</v>
      </c>
      <c r="F15" s="194">
        <v>0</v>
      </c>
      <c r="G15" s="163">
        <f t="shared" ref="G15:G53" si="7">SUM(D15:F15)</f>
        <v>34</v>
      </c>
      <c r="H15" s="163">
        <v>35</v>
      </c>
      <c r="I15" s="163">
        <f t="shared" si="3"/>
        <v>105</v>
      </c>
      <c r="J15" s="163">
        <f t="shared" si="4"/>
        <v>139</v>
      </c>
      <c r="K15" s="181"/>
      <c r="L15" s="178"/>
      <c r="M15" s="178"/>
      <c r="N15" s="178"/>
      <c r="O15" s="178"/>
      <c r="P15" s="178"/>
      <c r="Q15" s="178"/>
    </row>
    <row r="16" spans="1:20">
      <c r="A16" s="181" t="s">
        <v>12</v>
      </c>
      <c r="B16" s="163">
        <v>1334</v>
      </c>
      <c r="C16" s="5">
        <v>96.85</v>
      </c>
      <c r="D16" s="163">
        <v>459</v>
      </c>
      <c r="E16" s="163">
        <v>990</v>
      </c>
      <c r="F16" s="194">
        <v>60</v>
      </c>
      <c r="G16" s="163">
        <f t="shared" si="7"/>
        <v>1509</v>
      </c>
      <c r="H16" s="163">
        <v>754</v>
      </c>
      <c r="I16" s="163">
        <f t="shared" si="3"/>
        <v>2262</v>
      </c>
      <c r="J16" s="163">
        <f t="shared" si="4"/>
        <v>3771</v>
      </c>
      <c r="K16" s="181"/>
      <c r="L16" s="178"/>
      <c r="M16" s="178"/>
      <c r="N16" s="178"/>
      <c r="O16" s="178"/>
      <c r="P16" s="178"/>
      <c r="Q16" s="178"/>
    </row>
    <row r="17" spans="1:17">
      <c r="A17" s="181" t="s">
        <v>13</v>
      </c>
      <c r="B17" s="163">
        <v>16179</v>
      </c>
      <c r="C17" s="5">
        <v>110.88</v>
      </c>
      <c r="D17" s="163">
        <v>1600</v>
      </c>
      <c r="E17" s="163">
        <v>1144</v>
      </c>
      <c r="F17" s="194">
        <v>0</v>
      </c>
      <c r="G17" s="163">
        <f t="shared" si="7"/>
        <v>2744</v>
      </c>
      <c r="H17" s="163">
        <v>4097</v>
      </c>
      <c r="I17" s="163">
        <f t="shared" si="3"/>
        <v>12291</v>
      </c>
      <c r="J17" s="163">
        <f t="shared" si="4"/>
        <v>15035</v>
      </c>
      <c r="K17" s="181"/>
      <c r="L17" s="178"/>
      <c r="M17" s="178"/>
      <c r="N17" s="178"/>
      <c r="O17" s="178"/>
      <c r="P17" s="178"/>
      <c r="Q17" s="178"/>
    </row>
    <row r="18" spans="1:17">
      <c r="A18" s="181" t="s">
        <v>14</v>
      </c>
      <c r="B18" s="163">
        <v>6226</v>
      </c>
      <c r="C18" s="5">
        <v>301.18</v>
      </c>
      <c r="D18" s="163">
        <v>5491</v>
      </c>
      <c r="E18" s="163">
        <v>1465</v>
      </c>
      <c r="F18" s="194">
        <v>0</v>
      </c>
      <c r="G18" s="163">
        <f t="shared" si="7"/>
        <v>6956</v>
      </c>
      <c r="H18" s="163">
        <v>4182</v>
      </c>
      <c r="I18" s="163">
        <f t="shared" si="3"/>
        <v>12546</v>
      </c>
      <c r="J18" s="163">
        <f t="shared" si="4"/>
        <v>19502</v>
      </c>
      <c r="K18" s="181"/>
      <c r="L18" s="178"/>
      <c r="M18" s="178"/>
      <c r="N18" s="178"/>
      <c r="O18" s="178"/>
      <c r="P18" s="178"/>
      <c r="Q18" s="178"/>
    </row>
    <row r="19" spans="1:17">
      <c r="A19" s="181" t="s">
        <v>15</v>
      </c>
      <c r="B19" s="163">
        <v>1084</v>
      </c>
      <c r="C19" s="5">
        <v>65.98</v>
      </c>
      <c r="D19" s="163">
        <v>66</v>
      </c>
      <c r="E19" s="163">
        <v>60</v>
      </c>
      <c r="F19" s="194">
        <v>0</v>
      </c>
      <c r="G19" s="163">
        <f t="shared" si="7"/>
        <v>126</v>
      </c>
      <c r="H19" s="163">
        <v>850</v>
      </c>
      <c r="I19" s="163">
        <f t="shared" si="3"/>
        <v>2550</v>
      </c>
      <c r="J19" s="163">
        <f t="shared" si="4"/>
        <v>2676</v>
      </c>
      <c r="K19" s="181"/>
      <c r="L19" s="178"/>
      <c r="M19" s="178"/>
      <c r="N19" s="178"/>
      <c r="O19" s="178"/>
      <c r="P19" s="178"/>
      <c r="Q19" s="178"/>
    </row>
    <row r="20" spans="1:17">
      <c r="A20" s="181" t="s">
        <v>16</v>
      </c>
      <c r="B20" s="163">
        <v>33388</v>
      </c>
      <c r="C20" s="5">
        <v>290.27999999999997</v>
      </c>
      <c r="D20" s="163">
        <v>44500</v>
      </c>
      <c r="E20" s="163">
        <v>9787</v>
      </c>
      <c r="F20" s="194">
        <v>0</v>
      </c>
      <c r="G20" s="163">
        <f t="shared" si="7"/>
        <v>54287</v>
      </c>
      <c r="H20" s="163">
        <v>5828</v>
      </c>
      <c r="I20" s="163">
        <f t="shared" si="3"/>
        <v>17484</v>
      </c>
      <c r="J20" s="163">
        <f t="shared" si="4"/>
        <v>71771</v>
      </c>
      <c r="K20" s="181"/>
      <c r="L20" s="178"/>
      <c r="M20" s="178"/>
      <c r="N20" s="178"/>
      <c r="O20" s="178"/>
      <c r="P20" s="178"/>
      <c r="Q20" s="178"/>
    </row>
    <row r="21" spans="1:17">
      <c r="A21" s="181" t="s">
        <v>17</v>
      </c>
      <c r="B21" s="163">
        <v>790</v>
      </c>
      <c r="C21" s="5">
        <v>15.98</v>
      </c>
      <c r="D21" s="163">
        <v>25</v>
      </c>
      <c r="E21" s="163">
        <v>244</v>
      </c>
      <c r="F21" s="194">
        <v>0</v>
      </c>
      <c r="G21" s="163">
        <f t="shared" si="7"/>
        <v>269</v>
      </c>
      <c r="H21" s="163">
        <v>386</v>
      </c>
      <c r="I21" s="163">
        <f t="shared" si="3"/>
        <v>1158</v>
      </c>
      <c r="J21" s="163">
        <f t="shared" si="4"/>
        <v>1427</v>
      </c>
      <c r="K21" s="181"/>
      <c r="L21" s="178"/>
      <c r="M21" s="178"/>
      <c r="N21" s="178"/>
      <c r="O21" s="178"/>
      <c r="P21" s="178"/>
      <c r="Q21" s="178"/>
    </row>
    <row r="22" spans="1:17">
      <c r="A22" s="181" t="s">
        <v>18</v>
      </c>
      <c r="B22" s="163">
        <v>7917</v>
      </c>
      <c r="C22" s="5">
        <v>52.95</v>
      </c>
      <c r="D22" s="163">
        <v>1300</v>
      </c>
      <c r="E22" s="163">
        <v>804</v>
      </c>
      <c r="F22" s="194">
        <v>60</v>
      </c>
      <c r="G22" s="163">
        <f t="shared" si="7"/>
        <v>2164</v>
      </c>
      <c r="H22" s="163">
        <v>2325</v>
      </c>
      <c r="I22" s="163">
        <f t="shared" si="3"/>
        <v>6975</v>
      </c>
      <c r="J22" s="163">
        <f t="shared" si="4"/>
        <v>9139</v>
      </c>
      <c r="K22" s="181"/>
      <c r="L22" s="178"/>
      <c r="M22" s="178"/>
      <c r="N22" s="178"/>
      <c r="O22" s="178"/>
      <c r="P22" s="178"/>
      <c r="Q22" s="178"/>
    </row>
    <row r="23" spans="1:17">
      <c r="A23" s="181" t="s">
        <v>19</v>
      </c>
      <c r="B23" s="163">
        <v>492</v>
      </c>
      <c r="C23" s="5">
        <v>9.1300000000000008</v>
      </c>
      <c r="D23" s="163">
        <v>96</v>
      </c>
      <c r="E23" s="163">
        <v>194</v>
      </c>
      <c r="F23" s="194">
        <v>0</v>
      </c>
      <c r="G23" s="163">
        <f t="shared" si="7"/>
        <v>290</v>
      </c>
      <c r="H23" s="163">
        <v>300</v>
      </c>
      <c r="I23" s="163">
        <f t="shared" si="3"/>
        <v>900</v>
      </c>
      <c r="J23" s="163">
        <f t="shared" si="4"/>
        <v>1190</v>
      </c>
      <c r="K23" s="181"/>
      <c r="L23" s="178"/>
      <c r="M23" s="178"/>
      <c r="N23" s="178"/>
      <c r="O23" s="178"/>
      <c r="P23" s="178"/>
      <c r="Q23" s="178"/>
    </row>
    <row r="24" spans="1:17">
      <c r="A24" s="181" t="s">
        <v>20</v>
      </c>
      <c r="B24" s="163">
        <v>1008</v>
      </c>
      <c r="C24" s="5">
        <v>41.4</v>
      </c>
      <c r="D24" s="163">
        <v>142</v>
      </c>
      <c r="E24" s="163">
        <v>150</v>
      </c>
      <c r="F24" s="194">
        <v>144</v>
      </c>
      <c r="G24" s="163">
        <f t="shared" si="7"/>
        <v>436</v>
      </c>
      <c r="H24" s="163">
        <v>1530</v>
      </c>
      <c r="I24" s="163">
        <f t="shared" si="3"/>
        <v>4590</v>
      </c>
      <c r="J24" s="163">
        <f t="shared" si="4"/>
        <v>5026</v>
      </c>
      <c r="K24" s="181"/>
      <c r="L24" s="178"/>
      <c r="M24" s="178"/>
      <c r="N24" s="178"/>
      <c r="O24" s="178"/>
      <c r="P24" s="178"/>
      <c r="Q24" s="178"/>
    </row>
    <row r="25" spans="1:17">
      <c r="A25" s="181" t="s">
        <v>21</v>
      </c>
      <c r="B25" s="163">
        <v>3047</v>
      </c>
      <c r="C25" s="5">
        <v>34.049999999999997</v>
      </c>
      <c r="D25" s="163">
        <v>1937</v>
      </c>
      <c r="E25" s="163">
        <v>1001</v>
      </c>
      <c r="F25" s="194">
        <v>0</v>
      </c>
      <c r="G25" s="163">
        <f t="shared" si="7"/>
        <v>2938</v>
      </c>
      <c r="H25" s="163">
        <v>658</v>
      </c>
      <c r="I25" s="163">
        <f t="shared" si="3"/>
        <v>1974</v>
      </c>
      <c r="J25" s="163">
        <f t="shared" si="4"/>
        <v>4912</v>
      </c>
      <c r="K25" s="181"/>
      <c r="L25" s="178"/>
      <c r="M25" s="178"/>
      <c r="N25" s="178"/>
      <c r="O25" s="178"/>
      <c r="P25" s="178"/>
      <c r="Q25" s="178"/>
    </row>
    <row r="26" spans="1:17">
      <c r="A26" s="181" t="s">
        <v>22</v>
      </c>
      <c r="B26" s="163">
        <v>115490</v>
      </c>
      <c r="C26" s="5">
        <v>1398.08</v>
      </c>
      <c r="D26" s="163">
        <v>85519</v>
      </c>
      <c r="E26" s="163">
        <v>14395</v>
      </c>
      <c r="F26" s="194">
        <v>0</v>
      </c>
      <c r="G26" s="163">
        <f t="shared" si="7"/>
        <v>99914</v>
      </c>
      <c r="H26" s="163">
        <v>21962</v>
      </c>
      <c r="I26" s="163">
        <f t="shared" si="3"/>
        <v>65886</v>
      </c>
      <c r="J26" s="163">
        <f t="shared" si="4"/>
        <v>165800</v>
      </c>
      <c r="K26" s="181"/>
      <c r="L26" s="178"/>
      <c r="M26" s="178"/>
      <c r="N26" s="178"/>
      <c r="O26" s="178"/>
      <c r="P26" s="178"/>
      <c r="Q26" s="178"/>
    </row>
    <row r="27" spans="1:17">
      <c r="A27" s="181" t="s">
        <v>23</v>
      </c>
      <c r="B27" s="163">
        <v>2590</v>
      </c>
      <c r="C27" s="5">
        <v>58.1</v>
      </c>
      <c r="D27" s="163">
        <v>482</v>
      </c>
      <c r="E27" s="163">
        <v>566</v>
      </c>
      <c r="F27" s="194">
        <v>0</v>
      </c>
      <c r="G27" s="163">
        <f t="shared" si="7"/>
        <v>1048</v>
      </c>
      <c r="H27" s="163">
        <v>1163</v>
      </c>
      <c r="I27" s="163">
        <f t="shared" si="3"/>
        <v>3489</v>
      </c>
      <c r="J27" s="163">
        <f t="shared" si="4"/>
        <v>4537</v>
      </c>
      <c r="K27" s="181"/>
      <c r="L27" s="178"/>
      <c r="M27" s="178"/>
      <c r="N27" s="178"/>
      <c r="O27" s="178"/>
      <c r="P27" s="178"/>
      <c r="Q27" s="178"/>
    </row>
    <row r="28" spans="1:17">
      <c r="A28" s="181" t="s">
        <v>24</v>
      </c>
      <c r="B28" s="163">
        <v>780</v>
      </c>
      <c r="C28" s="5">
        <v>62.83</v>
      </c>
      <c r="D28" s="163">
        <v>458</v>
      </c>
      <c r="E28" s="163">
        <v>441</v>
      </c>
      <c r="F28" s="194">
        <v>0</v>
      </c>
      <c r="G28" s="163">
        <f t="shared" si="7"/>
        <v>899</v>
      </c>
      <c r="H28" s="163">
        <v>822</v>
      </c>
      <c r="I28" s="163">
        <f t="shared" si="3"/>
        <v>2466</v>
      </c>
      <c r="J28" s="163">
        <f t="shared" si="4"/>
        <v>3365</v>
      </c>
      <c r="K28" s="181"/>
      <c r="L28" s="178"/>
      <c r="M28" s="178"/>
      <c r="N28" s="178"/>
      <c r="O28" s="178"/>
      <c r="P28" s="178"/>
      <c r="Q28" s="178"/>
    </row>
    <row r="29" spans="1:17">
      <c r="A29" s="181" t="s">
        <v>25</v>
      </c>
      <c r="B29" s="163">
        <v>478</v>
      </c>
      <c r="C29" s="5">
        <v>28.13</v>
      </c>
      <c r="D29" s="163">
        <v>81</v>
      </c>
      <c r="E29" s="163">
        <v>192</v>
      </c>
      <c r="F29" s="194">
        <v>0</v>
      </c>
      <c r="G29" s="163">
        <f t="shared" si="7"/>
        <v>273</v>
      </c>
      <c r="H29" s="163">
        <v>497</v>
      </c>
      <c r="I29" s="163">
        <f t="shared" si="3"/>
        <v>1491</v>
      </c>
      <c r="J29" s="163">
        <f t="shared" si="4"/>
        <v>1764</v>
      </c>
      <c r="K29" s="181"/>
      <c r="L29" s="178"/>
      <c r="M29" s="178"/>
      <c r="N29" s="178"/>
      <c r="O29" s="178"/>
      <c r="P29" s="178"/>
      <c r="Q29" s="178"/>
    </row>
    <row r="30" spans="1:17">
      <c r="A30" s="181" t="s">
        <v>26</v>
      </c>
      <c r="B30" s="163">
        <v>1973</v>
      </c>
      <c r="C30" s="5">
        <v>120.67</v>
      </c>
      <c r="D30" s="163">
        <v>395</v>
      </c>
      <c r="E30" s="163">
        <v>1564</v>
      </c>
      <c r="F30" s="194">
        <v>984</v>
      </c>
      <c r="G30" s="163">
        <f t="shared" si="7"/>
        <v>2943</v>
      </c>
      <c r="H30" s="163">
        <v>1097</v>
      </c>
      <c r="I30" s="163">
        <f t="shared" si="3"/>
        <v>3291</v>
      </c>
      <c r="J30" s="163">
        <f t="shared" si="4"/>
        <v>6234</v>
      </c>
      <c r="K30" s="181"/>
      <c r="L30" s="178"/>
      <c r="M30" s="178"/>
      <c r="N30" s="178"/>
      <c r="O30" s="178"/>
      <c r="P30" s="178"/>
      <c r="Q30" s="178"/>
    </row>
    <row r="31" spans="1:17">
      <c r="A31" s="181" t="s">
        <v>27</v>
      </c>
      <c r="B31" s="163">
        <v>271</v>
      </c>
      <c r="C31" s="5">
        <v>38.35</v>
      </c>
      <c r="D31" s="163">
        <v>24</v>
      </c>
      <c r="E31" s="163">
        <v>161</v>
      </c>
      <c r="F31" s="194">
        <v>0</v>
      </c>
      <c r="G31" s="163">
        <f t="shared" si="7"/>
        <v>185</v>
      </c>
      <c r="H31" s="163">
        <v>335</v>
      </c>
      <c r="I31" s="163">
        <f t="shared" si="3"/>
        <v>1005</v>
      </c>
      <c r="J31" s="163">
        <f t="shared" si="4"/>
        <v>1190</v>
      </c>
      <c r="K31" s="181"/>
      <c r="L31" s="178"/>
      <c r="M31" s="178"/>
      <c r="N31" s="178"/>
      <c r="O31" s="178"/>
      <c r="P31" s="178"/>
      <c r="Q31" s="178"/>
    </row>
    <row r="32" spans="1:17">
      <c r="A32" s="181" t="s">
        <v>28</v>
      </c>
      <c r="B32" s="163">
        <v>9221</v>
      </c>
      <c r="C32" s="5">
        <v>379.67</v>
      </c>
      <c r="D32" s="163">
        <v>1401</v>
      </c>
      <c r="E32" s="163">
        <v>1485</v>
      </c>
      <c r="F32" s="194">
        <v>189</v>
      </c>
      <c r="G32" s="163">
        <f t="shared" si="7"/>
        <v>3075</v>
      </c>
      <c r="H32" s="163">
        <v>5471</v>
      </c>
      <c r="I32" s="163">
        <f t="shared" si="3"/>
        <v>16413</v>
      </c>
      <c r="J32" s="163">
        <f t="shared" si="4"/>
        <v>19488</v>
      </c>
      <c r="K32" s="181"/>
      <c r="L32" s="178"/>
      <c r="M32" s="178"/>
      <c r="N32" s="178"/>
      <c r="O32" s="178"/>
      <c r="P32" s="178"/>
      <c r="Q32" s="178"/>
    </row>
    <row r="33" spans="1:17">
      <c r="A33" s="181" t="s">
        <v>29</v>
      </c>
      <c r="B33" s="163">
        <v>1211</v>
      </c>
      <c r="C33" s="5">
        <v>34.83</v>
      </c>
      <c r="D33" s="163">
        <v>343</v>
      </c>
      <c r="E33" s="163">
        <v>1445</v>
      </c>
      <c r="F33" s="194">
        <v>300</v>
      </c>
      <c r="G33" s="163">
        <f t="shared" si="7"/>
        <v>2088</v>
      </c>
      <c r="H33" s="163">
        <v>1192</v>
      </c>
      <c r="I33" s="163">
        <f t="shared" si="3"/>
        <v>3576</v>
      </c>
      <c r="J33" s="163">
        <f t="shared" si="4"/>
        <v>5664</v>
      </c>
      <c r="K33" s="181"/>
      <c r="L33" s="178"/>
      <c r="M33" s="178"/>
      <c r="N33" s="178"/>
      <c r="O33" s="178"/>
      <c r="P33" s="178"/>
      <c r="Q33" s="178"/>
    </row>
    <row r="34" spans="1:17">
      <c r="A34" s="181" t="s">
        <v>30</v>
      </c>
      <c r="B34" s="163">
        <v>167</v>
      </c>
      <c r="C34" s="5">
        <v>13.48</v>
      </c>
      <c r="D34" s="163"/>
      <c r="E34" s="163"/>
      <c r="F34" s="194">
        <v>0</v>
      </c>
      <c r="G34" s="163">
        <f t="shared" si="7"/>
        <v>0</v>
      </c>
      <c r="H34" s="163">
        <v>125</v>
      </c>
      <c r="I34" s="163">
        <f t="shared" si="3"/>
        <v>375</v>
      </c>
      <c r="J34" s="163">
        <f t="shared" si="4"/>
        <v>375</v>
      </c>
      <c r="K34" s="181"/>
      <c r="L34" s="178"/>
      <c r="M34" s="178"/>
      <c r="N34" s="178"/>
      <c r="O34" s="178"/>
      <c r="P34" s="178"/>
      <c r="Q34" s="178"/>
    </row>
    <row r="35" spans="1:17">
      <c r="A35" s="181" t="s">
        <v>31</v>
      </c>
      <c r="B35" s="163">
        <v>141</v>
      </c>
      <c r="C35" s="5">
        <v>17.600000000000001</v>
      </c>
      <c r="D35" s="163"/>
      <c r="E35" s="163"/>
      <c r="F35" s="194">
        <v>0</v>
      </c>
      <c r="G35" s="163">
        <f t="shared" si="7"/>
        <v>0</v>
      </c>
      <c r="H35" s="163">
        <v>125</v>
      </c>
      <c r="I35" s="163">
        <f t="shared" si="3"/>
        <v>375</v>
      </c>
      <c r="J35" s="163">
        <f t="shared" si="4"/>
        <v>375</v>
      </c>
      <c r="K35" s="181"/>
      <c r="L35" s="178"/>
      <c r="M35" s="178"/>
      <c r="N35" s="178"/>
      <c r="O35" s="178"/>
      <c r="P35" s="178"/>
      <c r="Q35" s="178"/>
    </row>
    <row r="36" spans="1:17">
      <c r="A36" s="181" t="s">
        <v>32</v>
      </c>
      <c r="B36" s="163">
        <v>15231</v>
      </c>
      <c r="C36" s="5">
        <v>75.790000000000006</v>
      </c>
      <c r="D36" s="163">
        <v>12123</v>
      </c>
      <c r="E36" s="163">
        <v>14406</v>
      </c>
      <c r="F36" s="194">
        <v>525</v>
      </c>
      <c r="G36" s="163">
        <f t="shared" si="7"/>
        <v>27054</v>
      </c>
      <c r="H36" s="163">
        <v>7854</v>
      </c>
      <c r="I36" s="163">
        <f t="shared" si="3"/>
        <v>23562</v>
      </c>
      <c r="J36" s="163">
        <f t="shared" si="4"/>
        <v>50616</v>
      </c>
      <c r="K36" s="181"/>
      <c r="L36" s="178"/>
      <c r="M36" s="178"/>
      <c r="N36" s="178"/>
      <c r="O36" s="178"/>
      <c r="P36" s="178"/>
      <c r="Q36" s="178"/>
    </row>
    <row r="37" spans="1:17">
      <c r="A37" s="181" t="s">
        <v>33</v>
      </c>
      <c r="B37" s="163">
        <v>319</v>
      </c>
      <c r="C37" s="5">
        <v>9.3000000000000007</v>
      </c>
      <c r="D37" s="163">
        <v>6</v>
      </c>
      <c r="E37" s="163"/>
      <c r="F37" s="194">
        <v>0</v>
      </c>
      <c r="G37" s="163">
        <f t="shared" si="7"/>
        <v>6</v>
      </c>
      <c r="H37" s="163">
        <v>271</v>
      </c>
      <c r="I37" s="163">
        <f t="shared" si="3"/>
        <v>813</v>
      </c>
      <c r="J37" s="163">
        <f t="shared" si="4"/>
        <v>819</v>
      </c>
      <c r="K37" s="181"/>
      <c r="L37" s="178"/>
      <c r="M37" s="178"/>
      <c r="N37" s="178"/>
      <c r="O37" s="178"/>
      <c r="P37" s="178"/>
      <c r="Q37" s="178"/>
    </row>
    <row r="38" spans="1:17">
      <c r="A38" s="181" t="s">
        <v>34</v>
      </c>
      <c r="B38" s="163">
        <v>2024</v>
      </c>
      <c r="C38" s="5">
        <v>107.8</v>
      </c>
      <c r="D38" s="163">
        <v>2056</v>
      </c>
      <c r="E38" s="163">
        <v>2677</v>
      </c>
      <c r="F38" s="194">
        <v>414</v>
      </c>
      <c r="G38" s="163">
        <f t="shared" si="7"/>
        <v>5147</v>
      </c>
      <c r="H38" s="163">
        <v>926</v>
      </c>
      <c r="I38" s="163">
        <f t="shared" si="3"/>
        <v>2778</v>
      </c>
      <c r="J38" s="163">
        <f t="shared" si="4"/>
        <v>7925</v>
      </c>
      <c r="K38" s="181"/>
      <c r="L38" s="178"/>
      <c r="M38" s="178"/>
      <c r="N38" s="178"/>
      <c r="O38" s="178"/>
      <c r="P38" s="178"/>
      <c r="Q38" s="178"/>
    </row>
    <row r="39" spans="1:17">
      <c r="A39" s="181" t="s">
        <v>35</v>
      </c>
      <c r="B39" s="163">
        <v>2455</v>
      </c>
      <c r="C39" s="5">
        <v>103.58</v>
      </c>
      <c r="D39" s="163">
        <v>282</v>
      </c>
      <c r="E39" s="163">
        <v>597</v>
      </c>
      <c r="F39" s="194">
        <v>183</v>
      </c>
      <c r="G39" s="163">
        <f t="shared" si="7"/>
        <v>1062</v>
      </c>
      <c r="H39" s="163">
        <v>2743</v>
      </c>
      <c r="I39" s="163">
        <f t="shared" si="3"/>
        <v>8229</v>
      </c>
      <c r="J39" s="163">
        <f t="shared" si="4"/>
        <v>9291</v>
      </c>
      <c r="K39" s="181"/>
      <c r="L39" s="178"/>
      <c r="M39" s="178"/>
      <c r="N39" s="178"/>
      <c r="O39" s="178"/>
      <c r="P39" s="178"/>
      <c r="Q39" s="178"/>
    </row>
    <row r="40" spans="1:17">
      <c r="A40" s="181" t="s">
        <v>36</v>
      </c>
      <c r="B40" s="163">
        <v>910</v>
      </c>
      <c r="C40" s="5">
        <v>35.71</v>
      </c>
      <c r="D40" s="163">
        <v>8</v>
      </c>
      <c r="E40" s="163">
        <v>132</v>
      </c>
      <c r="F40" s="194">
        <v>0</v>
      </c>
      <c r="G40" s="163">
        <f t="shared" si="7"/>
        <v>140</v>
      </c>
      <c r="H40" s="163">
        <v>878</v>
      </c>
      <c r="I40" s="163">
        <f t="shared" si="3"/>
        <v>2634</v>
      </c>
      <c r="J40" s="163">
        <f t="shared" si="4"/>
        <v>2774</v>
      </c>
      <c r="K40" s="181"/>
      <c r="L40" s="178"/>
      <c r="M40" s="178"/>
      <c r="N40" s="178"/>
      <c r="O40" s="178"/>
      <c r="P40" s="178"/>
      <c r="Q40" s="178"/>
    </row>
    <row r="41" spans="1:17">
      <c r="A41" s="181" t="s">
        <v>37</v>
      </c>
      <c r="B41" s="163">
        <v>399</v>
      </c>
      <c r="C41" s="5">
        <v>5.7</v>
      </c>
      <c r="D41" s="163">
        <v>343</v>
      </c>
      <c r="E41" s="163"/>
      <c r="F41" s="194">
        <v>0</v>
      </c>
      <c r="G41" s="163">
        <f t="shared" si="7"/>
        <v>343</v>
      </c>
      <c r="H41" s="163">
        <v>141</v>
      </c>
      <c r="I41" s="163">
        <f t="shared" ref="I41:I53" si="8">H41*3</f>
        <v>423</v>
      </c>
      <c r="J41" s="163">
        <f t="shared" ref="J41:J53" si="9">G41+I41</f>
        <v>766</v>
      </c>
      <c r="K41" s="181"/>
      <c r="L41" s="178"/>
      <c r="M41" s="178"/>
      <c r="N41" s="178"/>
      <c r="O41" s="178"/>
      <c r="P41" s="178"/>
      <c r="Q41" s="178"/>
    </row>
    <row r="42" spans="1:17">
      <c r="A42" s="181" t="s">
        <v>38</v>
      </c>
      <c r="B42" s="163">
        <v>1456</v>
      </c>
      <c r="C42" s="5">
        <v>99.26</v>
      </c>
      <c r="D42" s="163">
        <v>163</v>
      </c>
      <c r="E42" s="163">
        <v>1033</v>
      </c>
      <c r="F42" s="194">
        <v>0</v>
      </c>
      <c r="G42" s="163">
        <f t="shared" si="7"/>
        <v>1196</v>
      </c>
      <c r="H42" s="163">
        <v>2077</v>
      </c>
      <c r="I42" s="163">
        <f t="shared" si="8"/>
        <v>6231</v>
      </c>
      <c r="J42" s="163">
        <f t="shared" si="9"/>
        <v>7427</v>
      </c>
      <c r="K42" s="181"/>
      <c r="L42" s="178"/>
      <c r="M42" s="178"/>
      <c r="N42" s="178"/>
      <c r="O42" s="178"/>
      <c r="P42" s="178"/>
      <c r="Q42" s="178"/>
    </row>
    <row r="43" spans="1:17">
      <c r="A43" s="181" t="s">
        <v>39</v>
      </c>
      <c r="B43" s="163">
        <v>4977</v>
      </c>
      <c r="C43" s="5">
        <v>150.6</v>
      </c>
      <c r="D43" s="163">
        <v>1173</v>
      </c>
      <c r="E43" s="163">
        <v>3247</v>
      </c>
      <c r="F43" s="194">
        <v>225</v>
      </c>
      <c r="G43" s="163">
        <f t="shared" si="7"/>
        <v>4645</v>
      </c>
      <c r="H43" s="163">
        <v>2465</v>
      </c>
      <c r="I43" s="163">
        <f t="shared" si="8"/>
        <v>7395</v>
      </c>
      <c r="J43" s="163">
        <f t="shared" si="9"/>
        <v>12040</v>
      </c>
      <c r="K43" s="181"/>
      <c r="L43" s="178"/>
      <c r="M43" s="178"/>
      <c r="N43" s="178"/>
      <c r="O43" s="178"/>
      <c r="P43" s="178"/>
      <c r="Q43" s="178"/>
    </row>
    <row r="44" spans="1:17">
      <c r="A44" s="181" t="s">
        <v>40</v>
      </c>
      <c r="B44" s="163">
        <v>10134</v>
      </c>
      <c r="C44" s="5">
        <v>85.48</v>
      </c>
      <c r="D44" s="163">
        <v>10519</v>
      </c>
      <c r="E44" s="163">
        <v>4502</v>
      </c>
      <c r="F44" s="194">
        <v>765</v>
      </c>
      <c r="G44" s="163">
        <f t="shared" si="7"/>
        <v>15786</v>
      </c>
      <c r="H44" s="163">
        <v>5765</v>
      </c>
      <c r="I44" s="163">
        <f t="shared" si="8"/>
        <v>17295</v>
      </c>
      <c r="J44" s="163">
        <f t="shared" si="9"/>
        <v>33081</v>
      </c>
      <c r="K44" s="181"/>
      <c r="L44" s="178"/>
      <c r="M44" s="178"/>
      <c r="N44" s="178"/>
      <c r="O44" s="178"/>
      <c r="P44" s="178"/>
      <c r="Q44" s="178"/>
    </row>
    <row r="45" spans="1:17">
      <c r="A45" s="181" t="s">
        <v>41</v>
      </c>
      <c r="B45" s="163">
        <v>17930</v>
      </c>
      <c r="C45" s="5">
        <v>428.13</v>
      </c>
      <c r="D45" s="163">
        <v>5443</v>
      </c>
      <c r="E45" s="163">
        <v>7267</v>
      </c>
      <c r="F45" s="194">
        <v>912</v>
      </c>
      <c r="G45" s="163">
        <f t="shared" si="7"/>
        <v>13622</v>
      </c>
      <c r="H45" s="163">
        <v>10040</v>
      </c>
      <c r="I45" s="163">
        <f t="shared" si="8"/>
        <v>30120</v>
      </c>
      <c r="J45" s="163">
        <f t="shared" si="9"/>
        <v>43742</v>
      </c>
      <c r="K45" s="181"/>
      <c r="L45" s="178"/>
      <c r="M45" s="178"/>
      <c r="N45" s="178"/>
      <c r="O45" s="178"/>
      <c r="P45" s="178"/>
      <c r="Q45" s="178"/>
    </row>
    <row r="46" spans="1:17">
      <c r="A46" s="181" t="s">
        <v>42</v>
      </c>
      <c r="B46" s="163">
        <v>13715</v>
      </c>
      <c r="C46" s="5">
        <v>194.52</v>
      </c>
      <c r="D46" s="163">
        <v>6536</v>
      </c>
      <c r="E46" s="163">
        <v>9069</v>
      </c>
      <c r="F46" s="194">
        <v>1974</v>
      </c>
      <c r="G46" s="163">
        <f t="shared" si="7"/>
        <v>17579</v>
      </c>
      <c r="H46" s="163">
        <v>7295</v>
      </c>
      <c r="I46" s="163">
        <f t="shared" si="8"/>
        <v>21885</v>
      </c>
      <c r="J46" s="163">
        <f t="shared" si="9"/>
        <v>39464</v>
      </c>
      <c r="K46" s="181"/>
      <c r="L46" s="178"/>
      <c r="M46" s="178"/>
      <c r="N46" s="178"/>
      <c r="O46" s="178"/>
      <c r="P46" s="178"/>
      <c r="Q46" s="178"/>
    </row>
    <row r="47" spans="1:17">
      <c r="A47" s="181" t="s">
        <v>43</v>
      </c>
      <c r="B47" s="163">
        <v>1420</v>
      </c>
      <c r="C47" s="5">
        <v>73.23</v>
      </c>
      <c r="D47" s="163">
        <v>395</v>
      </c>
      <c r="E47" s="163">
        <v>1081</v>
      </c>
      <c r="F47" s="194">
        <v>309</v>
      </c>
      <c r="G47" s="163">
        <f t="shared" si="7"/>
        <v>1785</v>
      </c>
      <c r="H47" s="163">
        <v>2085</v>
      </c>
      <c r="I47" s="163">
        <f t="shared" si="8"/>
        <v>6255</v>
      </c>
      <c r="J47" s="163">
        <f t="shared" si="9"/>
        <v>8040</v>
      </c>
      <c r="K47" s="181"/>
      <c r="L47" s="178"/>
      <c r="M47" s="178"/>
      <c r="N47" s="178"/>
      <c r="O47" s="178"/>
      <c r="P47" s="178"/>
      <c r="Q47" s="178"/>
    </row>
    <row r="48" spans="1:17">
      <c r="A48" s="181" t="s">
        <v>44</v>
      </c>
      <c r="B48" s="163">
        <v>227</v>
      </c>
      <c r="C48" s="5">
        <v>7.78</v>
      </c>
      <c r="D48" s="163">
        <v>93</v>
      </c>
      <c r="E48" s="163"/>
      <c r="F48" s="194">
        <v>0</v>
      </c>
      <c r="G48" s="163">
        <f t="shared" si="7"/>
        <v>93</v>
      </c>
      <c r="H48" s="163">
        <v>128</v>
      </c>
      <c r="I48" s="163">
        <f t="shared" si="8"/>
        <v>384</v>
      </c>
      <c r="J48" s="163">
        <f t="shared" si="9"/>
        <v>477</v>
      </c>
      <c r="K48" s="181"/>
      <c r="L48" s="178"/>
      <c r="M48" s="178"/>
      <c r="N48" s="178"/>
      <c r="O48" s="178"/>
      <c r="P48" s="178"/>
      <c r="Q48" s="178"/>
    </row>
    <row r="49" spans="1:17">
      <c r="A49" s="181" t="s">
        <v>45</v>
      </c>
      <c r="B49" s="163">
        <v>273</v>
      </c>
      <c r="C49" s="5">
        <v>41.03</v>
      </c>
      <c r="D49" s="163">
        <v>37</v>
      </c>
      <c r="E49" s="163">
        <v>229</v>
      </c>
      <c r="F49" s="194">
        <v>0</v>
      </c>
      <c r="G49" s="163">
        <f t="shared" si="7"/>
        <v>266</v>
      </c>
      <c r="H49" s="163">
        <v>289</v>
      </c>
      <c r="I49" s="163">
        <f t="shared" si="8"/>
        <v>867</v>
      </c>
      <c r="J49" s="163">
        <f t="shared" si="9"/>
        <v>1133</v>
      </c>
      <c r="K49" s="181"/>
      <c r="L49" s="178"/>
      <c r="M49" s="178"/>
      <c r="N49" s="178"/>
      <c r="O49" s="178"/>
      <c r="P49" s="178"/>
      <c r="Q49" s="178"/>
    </row>
    <row r="50" spans="1:17">
      <c r="A50" s="181" t="s">
        <v>46</v>
      </c>
      <c r="B50" s="163">
        <v>2625</v>
      </c>
      <c r="C50" s="5">
        <v>73.180000000000007</v>
      </c>
      <c r="D50" s="163">
        <v>992</v>
      </c>
      <c r="E50" s="163">
        <v>2946</v>
      </c>
      <c r="F50" s="194">
        <v>0</v>
      </c>
      <c r="G50" s="163">
        <f t="shared" si="7"/>
        <v>3938</v>
      </c>
      <c r="H50" s="163">
        <v>2031</v>
      </c>
      <c r="I50" s="163">
        <f t="shared" si="8"/>
        <v>6093</v>
      </c>
      <c r="J50" s="163">
        <f t="shared" si="9"/>
        <v>10031</v>
      </c>
      <c r="K50" s="181"/>
      <c r="L50" s="178"/>
      <c r="M50" s="178"/>
      <c r="N50" s="178"/>
      <c r="O50" s="178"/>
      <c r="P50" s="178"/>
      <c r="Q50" s="178"/>
    </row>
    <row r="51" spans="1:17">
      <c r="A51" s="181" t="s">
        <v>47</v>
      </c>
      <c r="B51" s="163">
        <v>21507</v>
      </c>
      <c r="C51" s="5">
        <v>83.63</v>
      </c>
      <c r="D51" s="163">
        <v>2381</v>
      </c>
      <c r="E51" s="163">
        <v>2615</v>
      </c>
      <c r="F51" s="194">
        <v>210</v>
      </c>
      <c r="G51" s="163">
        <f t="shared" si="7"/>
        <v>5206</v>
      </c>
      <c r="H51" s="163">
        <v>7245</v>
      </c>
      <c r="I51" s="163">
        <f t="shared" si="8"/>
        <v>21735</v>
      </c>
      <c r="J51" s="163">
        <f t="shared" si="9"/>
        <v>26941</v>
      </c>
      <c r="K51" s="181"/>
      <c r="L51" s="178"/>
      <c r="M51" s="178"/>
      <c r="N51" s="178"/>
      <c r="O51" s="178"/>
      <c r="P51" s="178"/>
      <c r="Q51" s="178"/>
    </row>
    <row r="52" spans="1:17">
      <c r="A52" s="181" t="s">
        <v>48</v>
      </c>
      <c r="B52" s="163">
        <v>8636</v>
      </c>
      <c r="C52" s="5">
        <v>194.21</v>
      </c>
      <c r="D52" s="163">
        <v>2155</v>
      </c>
      <c r="E52" s="163">
        <v>2201</v>
      </c>
      <c r="F52" s="194">
        <v>231</v>
      </c>
      <c r="G52" s="163">
        <f t="shared" si="7"/>
        <v>4587</v>
      </c>
      <c r="H52" s="163">
        <v>6847</v>
      </c>
      <c r="I52" s="163">
        <f t="shared" si="8"/>
        <v>20541</v>
      </c>
      <c r="J52" s="163">
        <f t="shared" si="9"/>
        <v>25128</v>
      </c>
      <c r="K52" s="181"/>
      <c r="L52" s="178"/>
      <c r="M52" s="178"/>
      <c r="N52" s="178"/>
      <c r="O52" s="178"/>
      <c r="P52" s="178"/>
      <c r="Q52" s="178"/>
    </row>
    <row r="53" spans="1:17">
      <c r="A53" s="181" t="s">
        <v>49</v>
      </c>
      <c r="B53" s="163">
        <v>765</v>
      </c>
      <c r="C53" s="5">
        <v>32.07</v>
      </c>
      <c r="D53" s="163">
        <v>915</v>
      </c>
      <c r="E53" s="163">
        <v>487</v>
      </c>
      <c r="F53" s="194">
        <v>150</v>
      </c>
      <c r="G53" s="163">
        <f t="shared" si="7"/>
        <v>1552</v>
      </c>
      <c r="H53" s="163">
        <v>476</v>
      </c>
      <c r="I53" s="163">
        <f t="shared" si="8"/>
        <v>1428</v>
      </c>
      <c r="J53" s="163">
        <f t="shared" si="9"/>
        <v>2980</v>
      </c>
      <c r="K53" s="181"/>
      <c r="L53" s="178"/>
      <c r="M53" s="178"/>
      <c r="N53" s="178"/>
      <c r="O53" s="178"/>
      <c r="P53" s="178"/>
      <c r="Q53" s="178"/>
    </row>
    <row r="54" spans="1:17">
      <c r="B54" s="196"/>
    </row>
    <row r="55" spans="1:17">
      <c r="A55" s="186" t="s">
        <v>289</v>
      </c>
    </row>
    <row r="56" spans="1:17" ht="140.25">
      <c r="A56" s="169" t="s">
        <v>50</v>
      </c>
      <c r="B56" s="180" t="s">
        <v>290</v>
      </c>
      <c r="C56" s="180" t="s">
        <v>51</v>
      </c>
      <c r="D56" s="55" t="s">
        <v>180</v>
      </c>
      <c r="E56" s="197" t="s">
        <v>186</v>
      </c>
      <c r="F56" s="198" t="s">
        <v>296</v>
      </c>
      <c r="G56" s="169" t="s">
        <v>118</v>
      </c>
      <c r="H56" s="199" t="s">
        <v>185</v>
      </c>
      <c r="I56" s="199" t="s">
        <v>184</v>
      </c>
      <c r="J56" s="169" t="s">
        <v>119</v>
      </c>
    </row>
    <row r="57" spans="1:17">
      <c r="A57" s="191" t="s">
        <v>56</v>
      </c>
      <c r="B57" s="163">
        <v>198746</v>
      </c>
      <c r="C57" s="191">
        <f t="shared" ref="C57" si="10">SUM(C58:C66)</f>
        <v>3806.52</v>
      </c>
      <c r="D57" s="163">
        <f>SUM(D58:D66)</f>
        <v>23006</v>
      </c>
      <c r="E57" s="163">
        <f>SUM(E58:E66)</f>
        <v>15719</v>
      </c>
      <c r="F57" s="163">
        <f>SUM(F58:F66)</f>
        <v>138</v>
      </c>
      <c r="G57" s="163">
        <f t="shared" ref="G57:G88" si="11">SUM(D57:E57)</f>
        <v>38725</v>
      </c>
      <c r="H57" s="163">
        <f t="shared" ref="H57:I57" si="12">SUM(H58:H66)</f>
        <v>71643</v>
      </c>
      <c r="I57" s="163">
        <f t="shared" si="12"/>
        <v>214929</v>
      </c>
      <c r="J57" s="163">
        <f t="shared" ref="J57:J106" si="13">G57+I57</f>
        <v>253654</v>
      </c>
    </row>
    <row r="58" spans="1:17">
      <c r="A58" s="181" t="s">
        <v>1</v>
      </c>
      <c r="B58" s="163">
        <v>283</v>
      </c>
      <c r="C58" s="5">
        <v>43.23</v>
      </c>
      <c r="D58" s="163">
        <v>0</v>
      </c>
      <c r="E58" s="163">
        <v>44</v>
      </c>
      <c r="F58" s="163">
        <v>0</v>
      </c>
      <c r="G58" s="163">
        <f t="shared" si="11"/>
        <v>44</v>
      </c>
      <c r="H58" s="163">
        <v>163</v>
      </c>
      <c r="I58" s="163">
        <f t="shared" ref="I58:I66" si="14">H58*3</f>
        <v>489</v>
      </c>
      <c r="J58" s="163">
        <f t="shared" si="13"/>
        <v>533</v>
      </c>
    </row>
    <row r="59" spans="1:17">
      <c r="A59" s="181" t="s">
        <v>2</v>
      </c>
      <c r="B59" s="163">
        <v>86346</v>
      </c>
      <c r="C59" s="5">
        <v>1630.38</v>
      </c>
      <c r="D59" s="163">
        <v>6955</v>
      </c>
      <c r="E59" s="163">
        <v>5742</v>
      </c>
      <c r="F59" s="163">
        <v>0</v>
      </c>
      <c r="G59" s="163">
        <f t="shared" si="11"/>
        <v>12697</v>
      </c>
      <c r="H59" s="163">
        <v>29189</v>
      </c>
      <c r="I59" s="163">
        <f t="shared" si="14"/>
        <v>87567</v>
      </c>
      <c r="J59" s="163">
        <f t="shared" si="13"/>
        <v>100264</v>
      </c>
    </row>
    <row r="60" spans="1:17">
      <c r="A60" s="181" t="s">
        <v>3</v>
      </c>
      <c r="B60" s="163">
        <v>17025</v>
      </c>
      <c r="C60" s="5">
        <v>475.61</v>
      </c>
      <c r="D60" s="163">
        <v>2035</v>
      </c>
      <c r="E60" s="163">
        <v>1307</v>
      </c>
      <c r="F60" s="163">
        <v>138</v>
      </c>
      <c r="G60" s="163">
        <f t="shared" si="11"/>
        <v>3342</v>
      </c>
      <c r="H60" s="163">
        <v>6932</v>
      </c>
      <c r="I60" s="163">
        <f t="shared" si="14"/>
        <v>20796</v>
      </c>
      <c r="J60" s="163">
        <f t="shared" si="13"/>
        <v>24138</v>
      </c>
    </row>
    <row r="61" spans="1:17">
      <c r="A61" s="181" t="s">
        <v>4</v>
      </c>
      <c r="B61" s="163">
        <v>8563</v>
      </c>
      <c r="C61" s="5">
        <v>255.28</v>
      </c>
      <c r="D61" s="163">
        <v>1083</v>
      </c>
      <c r="E61" s="163">
        <v>1165</v>
      </c>
      <c r="F61" s="163">
        <v>0</v>
      </c>
      <c r="G61" s="163">
        <f t="shared" si="11"/>
        <v>2248</v>
      </c>
      <c r="H61" s="163">
        <v>4447</v>
      </c>
      <c r="I61" s="163">
        <f t="shared" si="14"/>
        <v>13341</v>
      </c>
      <c r="J61" s="163">
        <f t="shared" si="13"/>
        <v>15589</v>
      </c>
    </row>
    <row r="62" spans="1:17">
      <c r="A62" s="181" t="s">
        <v>5</v>
      </c>
      <c r="B62" s="163">
        <v>1508</v>
      </c>
      <c r="C62" s="5">
        <v>30.27</v>
      </c>
      <c r="D62" s="163">
        <v>24</v>
      </c>
      <c r="E62" s="163">
        <v>262</v>
      </c>
      <c r="F62" s="163">
        <v>0</v>
      </c>
      <c r="G62" s="163">
        <f t="shared" si="11"/>
        <v>286</v>
      </c>
      <c r="H62" s="163">
        <v>679</v>
      </c>
      <c r="I62" s="163">
        <f t="shared" si="14"/>
        <v>2037</v>
      </c>
      <c r="J62" s="163">
        <f t="shared" si="13"/>
        <v>2323</v>
      </c>
    </row>
    <row r="63" spans="1:17">
      <c r="A63" s="181" t="s">
        <v>6</v>
      </c>
      <c r="B63" s="163">
        <v>32939</v>
      </c>
      <c r="C63" s="5">
        <v>476.2</v>
      </c>
      <c r="D63" s="163">
        <v>9905</v>
      </c>
      <c r="E63" s="163">
        <v>4612</v>
      </c>
      <c r="F63" s="163">
        <v>0</v>
      </c>
      <c r="G63" s="163">
        <f t="shared" si="11"/>
        <v>14517</v>
      </c>
      <c r="H63" s="163">
        <v>13060</v>
      </c>
      <c r="I63" s="163">
        <f t="shared" si="14"/>
        <v>39180</v>
      </c>
      <c r="J63" s="163">
        <f t="shared" si="13"/>
        <v>53697</v>
      </c>
    </row>
    <row r="64" spans="1:17">
      <c r="A64" s="181" t="s">
        <v>7</v>
      </c>
      <c r="B64" s="163">
        <v>50744</v>
      </c>
      <c r="C64" s="5">
        <v>841.58</v>
      </c>
      <c r="D64" s="163">
        <v>2956</v>
      </c>
      <c r="E64" s="163">
        <v>2582</v>
      </c>
      <c r="F64" s="163">
        <v>0</v>
      </c>
      <c r="G64" s="163">
        <f t="shared" si="11"/>
        <v>5538</v>
      </c>
      <c r="H64" s="163">
        <v>16776</v>
      </c>
      <c r="I64" s="163">
        <f t="shared" si="14"/>
        <v>50328</v>
      </c>
      <c r="J64" s="163">
        <f t="shared" si="13"/>
        <v>55866</v>
      </c>
    </row>
    <row r="65" spans="1:10">
      <c r="A65" s="181" t="s">
        <v>8</v>
      </c>
      <c r="B65" s="163">
        <v>832</v>
      </c>
      <c r="C65" s="5">
        <v>14.2</v>
      </c>
      <c r="D65" s="163">
        <v>0</v>
      </c>
      <c r="E65" s="163">
        <v>0</v>
      </c>
      <c r="F65" s="163">
        <v>0</v>
      </c>
      <c r="G65" s="163">
        <f t="shared" si="11"/>
        <v>0</v>
      </c>
      <c r="H65" s="163">
        <v>261</v>
      </c>
      <c r="I65" s="163">
        <f t="shared" si="14"/>
        <v>783</v>
      </c>
      <c r="J65" s="163">
        <f t="shared" si="13"/>
        <v>783</v>
      </c>
    </row>
    <row r="66" spans="1:10">
      <c r="A66" s="181" t="s">
        <v>9</v>
      </c>
      <c r="B66" s="163">
        <v>477</v>
      </c>
      <c r="C66" s="5">
        <v>39.770000000000003</v>
      </c>
      <c r="D66" s="163">
        <v>48</v>
      </c>
      <c r="E66" s="163">
        <v>5</v>
      </c>
      <c r="F66" s="163">
        <v>0</v>
      </c>
      <c r="G66" s="163">
        <f t="shared" si="11"/>
        <v>53</v>
      </c>
      <c r="H66" s="163">
        <v>136</v>
      </c>
      <c r="I66" s="163">
        <f t="shared" si="14"/>
        <v>408</v>
      </c>
      <c r="J66" s="163">
        <f t="shared" si="13"/>
        <v>461</v>
      </c>
    </row>
    <row r="67" spans="1:10">
      <c r="A67" s="185" t="s">
        <v>57</v>
      </c>
      <c r="B67" s="163">
        <v>294042</v>
      </c>
      <c r="C67" s="191">
        <f t="shared" ref="C67:D67" si="15">SUM(C68:C106)</f>
        <v>4984.92</v>
      </c>
      <c r="D67" s="163">
        <f t="shared" si="15"/>
        <v>223874</v>
      </c>
      <c r="E67" s="163">
        <f>SUM(E68:E106)</f>
        <v>144869</v>
      </c>
      <c r="F67" s="163"/>
      <c r="G67" s="163">
        <f t="shared" si="11"/>
        <v>368743</v>
      </c>
      <c r="H67" s="163">
        <f t="shared" ref="H67:I67" si="16">SUM(H68:H106)</f>
        <v>113290</v>
      </c>
      <c r="I67" s="163">
        <f t="shared" si="16"/>
        <v>339870</v>
      </c>
      <c r="J67" s="163">
        <f t="shared" si="13"/>
        <v>708613</v>
      </c>
    </row>
    <row r="68" spans="1:10">
      <c r="A68" s="181" t="s">
        <v>11</v>
      </c>
      <c r="B68" s="163">
        <v>189</v>
      </c>
      <c r="C68" s="5">
        <v>13.5</v>
      </c>
      <c r="D68" s="163">
        <v>0</v>
      </c>
      <c r="E68" s="163">
        <v>40</v>
      </c>
      <c r="F68" s="163">
        <v>0</v>
      </c>
      <c r="G68" s="163">
        <f t="shared" si="11"/>
        <v>40</v>
      </c>
      <c r="H68" s="163">
        <v>35</v>
      </c>
      <c r="I68" s="163">
        <f t="shared" ref="I68:I106" si="17">H68*3</f>
        <v>105</v>
      </c>
      <c r="J68" s="163">
        <f t="shared" si="13"/>
        <v>145</v>
      </c>
    </row>
    <row r="69" spans="1:10">
      <c r="A69" s="181" t="s">
        <v>12</v>
      </c>
      <c r="B69" s="163">
        <v>1321</v>
      </c>
      <c r="C69" s="5">
        <v>96.85</v>
      </c>
      <c r="D69" s="163">
        <v>459</v>
      </c>
      <c r="E69" s="163">
        <v>1167</v>
      </c>
      <c r="F69" s="163">
        <v>90</v>
      </c>
      <c r="G69" s="163">
        <f t="shared" si="11"/>
        <v>1626</v>
      </c>
      <c r="H69" s="163">
        <v>754</v>
      </c>
      <c r="I69" s="163">
        <f t="shared" si="17"/>
        <v>2262</v>
      </c>
      <c r="J69" s="163">
        <f t="shared" si="13"/>
        <v>3888</v>
      </c>
    </row>
    <row r="70" spans="1:10">
      <c r="A70" s="181" t="s">
        <v>13</v>
      </c>
      <c r="B70" s="163">
        <v>15411</v>
      </c>
      <c r="C70" s="5">
        <v>110.88</v>
      </c>
      <c r="D70" s="163">
        <v>1836</v>
      </c>
      <c r="E70" s="163">
        <v>1093</v>
      </c>
      <c r="F70" s="163">
        <v>0</v>
      </c>
      <c r="G70" s="163">
        <f t="shared" si="11"/>
        <v>2929</v>
      </c>
      <c r="H70" s="163">
        <v>4097</v>
      </c>
      <c r="I70" s="163">
        <f t="shared" si="17"/>
        <v>12291</v>
      </c>
      <c r="J70" s="163">
        <f t="shared" si="13"/>
        <v>15220</v>
      </c>
    </row>
    <row r="71" spans="1:10">
      <c r="A71" s="181" t="s">
        <v>14</v>
      </c>
      <c r="B71" s="163">
        <v>6278</v>
      </c>
      <c r="C71" s="5">
        <v>301.18</v>
      </c>
      <c r="D71" s="163">
        <v>6389</v>
      </c>
      <c r="E71" s="163">
        <v>1529</v>
      </c>
      <c r="F71" s="167">
        <v>0</v>
      </c>
      <c r="G71" s="163">
        <f t="shared" si="11"/>
        <v>7918</v>
      </c>
      <c r="H71" s="163">
        <v>4182</v>
      </c>
      <c r="I71" s="163">
        <f t="shared" si="17"/>
        <v>12546</v>
      </c>
      <c r="J71" s="163">
        <f t="shared" si="13"/>
        <v>20464</v>
      </c>
    </row>
    <row r="72" spans="1:10">
      <c r="A72" s="181" t="s">
        <v>15</v>
      </c>
      <c r="B72" s="163">
        <v>1105</v>
      </c>
      <c r="C72" s="5">
        <v>65.98</v>
      </c>
      <c r="D72" s="163">
        <v>52</v>
      </c>
      <c r="E72" s="163">
        <v>172</v>
      </c>
      <c r="F72" s="167">
        <v>0</v>
      </c>
      <c r="G72" s="163">
        <f t="shared" si="11"/>
        <v>224</v>
      </c>
      <c r="H72" s="163">
        <v>850</v>
      </c>
      <c r="I72" s="163">
        <f t="shared" si="17"/>
        <v>2550</v>
      </c>
      <c r="J72" s="163">
        <f t="shared" si="13"/>
        <v>2774</v>
      </c>
    </row>
    <row r="73" spans="1:10">
      <c r="A73" s="181" t="s">
        <v>16</v>
      </c>
      <c r="B73" s="163">
        <v>30797</v>
      </c>
      <c r="C73" s="5">
        <v>290.27999999999997</v>
      </c>
      <c r="D73" s="163">
        <v>55456</v>
      </c>
      <c r="E73" s="163">
        <v>5871</v>
      </c>
      <c r="F73" s="163">
        <v>60</v>
      </c>
      <c r="G73" s="163">
        <f t="shared" si="11"/>
        <v>61327</v>
      </c>
      <c r="H73" s="163">
        <v>5828</v>
      </c>
      <c r="I73" s="163">
        <f t="shared" si="17"/>
        <v>17484</v>
      </c>
      <c r="J73" s="163">
        <f t="shared" si="13"/>
        <v>78811</v>
      </c>
    </row>
    <row r="74" spans="1:10">
      <c r="A74" s="181" t="s">
        <v>17</v>
      </c>
      <c r="B74" s="163">
        <v>782</v>
      </c>
      <c r="C74" s="5">
        <v>15.98</v>
      </c>
      <c r="D74" s="163">
        <v>125</v>
      </c>
      <c r="E74" s="163">
        <v>447</v>
      </c>
      <c r="F74" s="167">
        <v>0</v>
      </c>
      <c r="G74" s="163">
        <f t="shared" si="11"/>
        <v>572</v>
      </c>
      <c r="H74" s="163">
        <v>386</v>
      </c>
      <c r="I74" s="163">
        <f t="shared" si="17"/>
        <v>1158</v>
      </c>
      <c r="J74" s="163">
        <f t="shared" si="13"/>
        <v>1730</v>
      </c>
    </row>
    <row r="75" spans="1:10">
      <c r="A75" s="181" t="s">
        <v>18</v>
      </c>
      <c r="B75" s="163">
        <v>7834</v>
      </c>
      <c r="C75" s="5">
        <v>52.95</v>
      </c>
      <c r="D75" s="163">
        <v>1211</v>
      </c>
      <c r="E75" s="163">
        <v>831</v>
      </c>
      <c r="F75" s="163">
        <v>90</v>
      </c>
      <c r="G75" s="163">
        <f t="shared" si="11"/>
        <v>2042</v>
      </c>
      <c r="H75" s="163">
        <v>2325</v>
      </c>
      <c r="I75" s="163">
        <f t="shared" si="17"/>
        <v>6975</v>
      </c>
      <c r="J75" s="163">
        <f t="shared" si="13"/>
        <v>9017</v>
      </c>
    </row>
    <row r="76" spans="1:10">
      <c r="A76" s="181" t="s">
        <v>19</v>
      </c>
      <c r="B76" s="163">
        <v>460</v>
      </c>
      <c r="C76" s="5">
        <v>9.1300000000000008</v>
      </c>
      <c r="D76" s="163">
        <v>106</v>
      </c>
      <c r="E76" s="163">
        <v>217</v>
      </c>
      <c r="F76" s="163">
        <v>0</v>
      </c>
      <c r="G76" s="163">
        <f t="shared" si="11"/>
        <v>323</v>
      </c>
      <c r="H76" s="163">
        <v>300</v>
      </c>
      <c r="I76" s="163">
        <f t="shared" si="17"/>
        <v>900</v>
      </c>
      <c r="J76" s="163">
        <f t="shared" si="13"/>
        <v>1223</v>
      </c>
    </row>
    <row r="77" spans="1:10">
      <c r="A77" s="181" t="s">
        <v>20</v>
      </c>
      <c r="B77" s="163">
        <v>992</v>
      </c>
      <c r="C77" s="5">
        <v>41.4</v>
      </c>
      <c r="D77" s="163">
        <v>142</v>
      </c>
      <c r="E77" s="163">
        <v>221</v>
      </c>
      <c r="F77" s="163">
        <v>0</v>
      </c>
      <c r="G77" s="163">
        <f t="shared" si="11"/>
        <v>363</v>
      </c>
      <c r="H77" s="163">
        <v>1530</v>
      </c>
      <c r="I77" s="163">
        <f t="shared" si="17"/>
        <v>4590</v>
      </c>
      <c r="J77" s="163">
        <f t="shared" si="13"/>
        <v>4953</v>
      </c>
    </row>
    <row r="78" spans="1:10">
      <c r="A78" s="181" t="s">
        <v>21</v>
      </c>
      <c r="B78" s="163">
        <v>2966</v>
      </c>
      <c r="C78" s="5">
        <v>34.049999999999997</v>
      </c>
      <c r="D78" s="163">
        <v>1762</v>
      </c>
      <c r="E78" s="163">
        <v>1762</v>
      </c>
      <c r="F78" s="163">
        <v>216</v>
      </c>
      <c r="G78" s="163">
        <f t="shared" si="11"/>
        <v>3524</v>
      </c>
      <c r="H78" s="163">
        <v>658</v>
      </c>
      <c r="I78" s="163">
        <f t="shared" si="17"/>
        <v>1974</v>
      </c>
      <c r="J78" s="163">
        <f t="shared" si="13"/>
        <v>5498</v>
      </c>
    </row>
    <row r="79" spans="1:10">
      <c r="A79" s="181" t="s">
        <v>22</v>
      </c>
      <c r="B79" s="163">
        <v>108314</v>
      </c>
      <c r="C79" s="5">
        <v>1398.08</v>
      </c>
      <c r="D79" s="163">
        <v>99031</v>
      </c>
      <c r="E79" s="163">
        <v>16121</v>
      </c>
      <c r="F79" s="163">
        <v>0</v>
      </c>
      <c r="G79" s="163">
        <f t="shared" si="11"/>
        <v>115152</v>
      </c>
      <c r="H79" s="163">
        <v>21962</v>
      </c>
      <c r="I79" s="163">
        <f t="shared" si="17"/>
        <v>65886</v>
      </c>
      <c r="J79" s="163">
        <f t="shared" si="13"/>
        <v>181038</v>
      </c>
    </row>
    <row r="80" spans="1:10">
      <c r="A80" s="181" t="s">
        <v>23</v>
      </c>
      <c r="B80" s="163">
        <v>2536</v>
      </c>
      <c r="C80" s="5">
        <v>58.1</v>
      </c>
      <c r="D80" s="163">
        <v>499</v>
      </c>
      <c r="E80" s="163">
        <v>704</v>
      </c>
      <c r="F80" s="163">
        <v>0</v>
      </c>
      <c r="G80" s="163">
        <f t="shared" si="11"/>
        <v>1203</v>
      </c>
      <c r="H80" s="163">
        <v>1163</v>
      </c>
      <c r="I80" s="163">
        <f t="shared" si="17"/>
        <v>3489</v>
      </c>
      <c r="J80" s="163">
        <f t="shared" si="13"/>
        <v>4692</v>
      </c>
    </row>
    <row r="81" spans="1:10">
      <c r="A81" s="181" t="s">
        <v>24</v>
      </c>
      <c r="B81" s="163">
        <v>773</v>
      </c>
      <c r="C81" s="5">
        <v>62.83</v>
      </c>
      <c r="D81" s="163">
        <v>480</v>
      </c>
      <c r="E81" s="163">
        <v>514</v>
      </c>
      <c r="F81" s="163">
        <v>0</v>
      </c>
      <c r="G81" s="163">
        <f t="shared" si="11"/>
        <v>994</v>
      </c>
      <c r="H81" s="163">
        <v>822</v>
      </c>
      <c r="I81" s="163">
        <f t="shared" si="17"/>
        <v>2466</v>
      </c>
      <c r="J81" s="163">
        <f t="shared" si="13"/>
        <v>3460</v>
      </c>
    </row>
    <row r="82" spans="1:10">
      <c r="A82" s="181" t="s">
        <v>25</v>
      </c>
      <c r="B82" s="163">
        <v>459</v>
      </c>
      <c r="C82" s="5">
        <v>28.13</v>
      </c>
      <c r="D82" s="163">
        <v>96</v>
      </c>
      <c r="E82" s="163">
        <v>329</v>
      </c>
      <c r="F82" s="163">
        <v>0</v>
      </c>
      <c r="G82" s="163">
        <f t="shared" si="11"/>
        <v>425</v>
      </c>
      <c r="H82" s="163">
        <v>497</v>
      </c>
      <c r="I82" s="163">
        <f t="shared" si="17"/>
        <v>1491</v>
      </c>
      <c r="J82" s="163">
        <f t="shared" si="13"/>
        <v>1916</v>
      </c>
    </row>
    <row r="83" spans="1:10">
      <c r="A83" s="181" t="s">
        <v>26</v>
      </c>
      <c r="B83" s="163">
        <v>1955</v>
      </c>
      <c r="C83" s="5">
        <v>120.67</v>
      </c>
      <c r="D83" s="163">
        <v>543</v>
      </c>
      <c r="E83" s="163">
        <v>2458</v>
      </c>
      <c r="F83" s="167">
        <v>957</v>
      </c>
      <c r="G83" s="163">
        <f t="shared" si="11"/>
        <v>3001</v>
      </c>
      <c r="H83" s="163">
        <v>1097</v>
      </c>
      <c r="I83" s="163">
        <f t="shared" si="17"/>
        <v>3291</v>
      </c>
      <c r="J83" s="163">
        <f t="shared" si="13"/>
        <v>6292</v>
      </c>
    </row>
    <row r="84" spans="1:10">
      <c r="A84" s="181" t="s">
        <v>27</v>
      </c>
      <c r="B84" s="163">
        <v>290</v>
      </c>
      <c r="C84" s="5">
        <v>38.35</v>
      </c>
      <c r="D84" s="163">
        <v>24</v>
      </c>
      <c r="E84" s="163">
        <v>231</v>
      </c>
      <c r="F84" s="167">
        <v>0</v>
      </c>
      <c r="G84" s="163">
        <f t="shared" si="11"/>
        <v>255</v>
      </c>
      <c r="H84" s="163">
        <v>335</v>
      </c>
      <c r="I84" s="163">
        <f t="shared" si="17"/>
        <v>1005</v>
      </c>
      <c r="J84" s="163">
        <f t="shared" si="13"/>
        <v>1260</v>
      </c>
    </row>
    <row r="85" spans="1:10">
      <c r="A85" s="181" t="s">
        <v>28</v>
      </c>
      <c r="B85" s="163">
        <v>9246</v>
      </c>
      <c r="C85" s="5">
        <v>379.67</v>
      </c>
      <c r="D85" s="163">
        <v>1319</v>
      </c>
      <c r="E85" s="163">
        <v>4349</v>
      </c>
      <c r="F85" s="163">
        <v>189</v>
      </c>
      <c r="G85" s="163">
        <f t="shared" si="11"/>
        <v>5668</v>
      </c>
      <c r="H85" s="163">
        <v>5471</v>
      </c>
      <c r="I85" s="163">
        <f t="shared" si="17"/>
        <v>16413</v>
      </c>
      <c r="J85" s="163">
        <f t="shared" si="13"/>
        <v>22081</v>
      </c>
    </row>
    <row r="86" spans="1:10">
      <c r="A86" s="181" t="s">
        <v>29</v>
      </c>
      <c r="B86" s="163">
        <v>1142</v>
      </c>
      <c r="C86" s="5">
        <v>34.83</v>
      </c>
      <c r="D86" s="163">
        <v>370</v>
      </c>
      <c r="E86" s="163">
        <v>2553</v>
      </c>
      <c r="F86" s="163">
        <v>300</v>
      </c>
      <c r="G86" s="163">
        <f t="shared" si="11"/>
        <v>2923</v>
      </c>
      <c r="H86" s="163">
        <v>1192</v>
      </c>
      <c r="I86" s="163">
        <f t="shared" si="17"/>
        <v>3576</v>
      </c>
      <c r="J86" s="163">
        <f t="shared" si="13"/>
        <v>6499</v>
      </c>
    </row>
    <row r="87" spans="1:10">
      <c r="A87" s="181" t="s">
        <v>30</v>
      </c>
      <c r="B87" s="163">
        <v>168</v>
      </c>
      <c r="C87" s="5">
        <v>13.48</v>
      </c>
      <c r="D87" s="163">
        <v>0</v>
      </c>
      <c r="E87" s="163">
        <v>252</v>
      </c>
      <c r="F87" s="163">
        <v>0</v>
      </c>
      <c r="G87" s="163">
        <f t="shared" si="11"/>
        <v>252</v>
      </c>
      <c r="H87" s="163">
        <v>125</v>
      </c>
      <c r="I87" s="163">
        <f t="shared" si="17"/>
        <v>375</v>
      </c>
      <c r="J87" s="163">
        <f t="shared" si="13"/>
        <v>627</v>
      </c>
    </row>
    <row r="88" spans="1:10">
      <c r="A88" s="181" t="s">
        <v>31</v>
      </c>
      <c r="B88" s="163">
        <v>150</v>
      </c>
      <c r="C88" s="5">
        <v>17.600000000000001</v>
      </c>
      <c r="D88" s="163">
        <v>0</v>
      </c>
      <c r="E88" s="163">
        <v>389</v>
      </c>
      <c r="F88" s="163">
        <v>0</v>
      </c>
      <c r="G88" s="163">
        <f t="shared" si="11"/>
        <v>389</v>
      </c>
      <c r="H88" s="163">
        <v>125</v>
      </c>
      <c r="I88" s="163">
        <f t="shared" si="17"/>
        <v>375</v>
      </c>
      <c r="J88" s="163">
        <f t="shared" si="13"/>
        <v>764</v>
      </c>
    </row>
    <row r="89" spans="1:10">
      <c r="A89" s="181" t="s">
        <v>32</v>
      </c>
      <c r="B89" s="163">
        <v>13765</v>
      </c>
      <c r="C89" s="5">
        <v>75.790000000000006</v>
      </c>
      <c r="D89" s="163">
        <v>14986</v>
      </c>
      <c r="E89" s="163">
        <v>25718</v>
      </c>
      <c r="F89" s="163">
        <v>519</v>
      </c>
      <c r="G89" s="163">
        <f t="shared" ref="G89:G106" si="18">SUM(D89:E89)</f>
        <v>40704</v>
      </c>
      <c r="H89" s="163">
        <v>7854</v>
      </c>
      <c r="I89" s="163">
        <f t="shared" si="17"/>
        <v>23562</v>
      </c>
      <c r="J89" s="163">
        <f t="shared" si="13"/>
        <v>64266</v>
      </c>
    </row>
    <row r="90" spans="1:10">
      <c r="A90" s="181" t="s">
        <v>33</v>
      </c>
      <c r="B90" s="163">
        <v>319</v>
      </c>
      <c r="C90" s="5">
        <v>9.3000000000000007</v>
      </c>
      <c r="D90" s="163">
        <v>0</v>
      </c>
      <c r="E90" s="163">
        <v>0</v>
      </c>
      <c r="F90" s="163">
        <v>0</v>
      </c>
      <c r="G90" s="163">
        <f t="shared" si="18"/>
        <v>0</v>
      </c>
      <c r="H90" s="163">
        <v>271</v>
      </c>
      <c r="I90" s="163">
        <f t="shared" si="17"/>
        <v>813</v>
      </c>
      <c r="J90" s="163">
        <f t="shared" si="13"/>
        <v>813</v>
      </c>
    </row>
    <row r="91" spans="1:10">
      <c r="A91" s="181" t="s">
        <v>34</v>
      </c>
      <c r="B91" s="163">
        <v>1953</v>
      </c>
      <c r="C91" s="5">
        <v>107.8</v>
      </c>
      <c r="D91" s="163">
        <v>2274</v>
      </c>
      <c r="E91" s="163">
        <v>3209</v>
      </c>
      <c r="F91" s="163">
        <v>633</v>
      </c>
      <c r="G91" s="163">
        <f t="shared" si="18"/>
        <v>5483</v>
      </c>
      <c r="H91" s="163">
        <v>926</v>
      </c>
      <c r="I91" s="163">
        <f t="shared" si="17"/>
        <v>2778</v>
      </c>
      <c r="J91" s="163">
        <f t="shared" si="13"/>
        <v>8261</v>
      </c>
    </row>
    <row r="92" spans="1:10">
      <c r="A92" s="181" t="s">
        <v>35</v>
      </c>
      <c r="B92" s="163">
        <v>2345</v>
      </c>
      <c r="C92" s="5">
        <v>103.58</v>
      </c>
      <c r="D92" s="163">
        <v>544</v>
      </c>
      <c r="E92" s="163">
        <v>2392</v>
      </c>
      <c r="F92" s="163">
        <v>183</v>
      </c>
      <c r="G92" s="163">
        <f t="shared" si="18"/>
        <v>2936</v>
      </c>
      <c r="H92" s="163">
        <v>2743</v>
      </c>
      <c r="I92" s="163">
        <f t="shared" si="17"/>
        <v>8229</v>
      </c>
      <c r="J92" s="163">
        <f t="shared" si="13"/>
        <v>11165</v>
      </c>
    </row>
    <row r="93" spans="1:10">
      <c r="A93" s="181" t="s">
        <v>36</v>
      </c>
      <c r="B93" s="163">
        <v>971</v>
      </c>
      <c r="C93" s="5">
        <v>35.71</v>
      </c>
      <c r="D93" s="163">
        <v>8</v>
      </c>
      <c r="E93" s="163">
        <v>381</v>
      </c>
      <c r="F93" s="163">
        <v>0</v>
      </c>
      <c r="G93" s="163">
        <f t="shared" si="18"/>
        <v>389</v>
      </c>
      <c r="H93" s="163">
        <v>878</v>
      </c>
      <c r="I93" s="163">
        <f t="shared" si="17"/>
        <v>2634</v>
      </c>
      <c r="J93" s="163">
        <f t="shared" si="13"/>
        <v>3023</v>
      </c>
    </row>
    <row r="94" spans="1:10">
      <c r="A94" s="181" t="s">
        <v>37</v>
      </c>
      <c r="B94" s="163">
        <v>398</v>
      </c>
      <c r="C94" s="5">
        <v>5.7</v>
      </c>
      <c r="D94" s="163">
        <v>67</v>
      </c>
      <c r="E94" s="163">
        <v>1347</v>
      </c>
      <c r="F94" s="163">
        <v>0</v>
      </c>
      <c r="G94" s="163">
        <f t="shared" si="18"/>
        <v>1414</v>
      </c>
      <c r="H94" s="163">
        <v>141</v>
      </c>
      <c r="I94" s="163">
        <f t="shared" si="17"/>
        <v>423</v>
      </c>
      <c r="J94" s="163">
        <f t="shared" si="13"/>
        <v>1837</v>
      </c>
    </row>
    <row r="95" spans="1:10">
      <c r="A95" s="181" t="s">
        <v>38</v>
      </c>
      <c r="B95" s="163">
        <v>1469</v>
      </c>
      <c r="C95" s="5">
        <v>99.26</v>
      </c>
      <c r="D95" s="163">
        <v>193</v>
      </c>
      <c r="E95" s="163">
        <v>1696</v>
      </c>
      <c r="F95" s="163">
        <v>0</v>
      </c>
      <c r="G95" s="163">
        <f t="shared" si="18"/>
        <v>1889</v>
      </c>
      <c r="H95" s="163">
        <v>2077</v>
      </c>
      <c r="I95" s="163">
        <f t="shared" si="17"/>
        <v>6231</v>
      </c>
      <c r="J95" s="163">
        <f t="shared" si="13"/>
        <v>8120</v>
      </c>
    </row>
    <row r="96" spans="1:10">
      <c r="A96" s="181" t="s">
        <v>39</v>
      </c>
      <c r="B96" s="163">
        <v>5014</v>
      </c>
      <c r="C96" s="5">
        <v>150.6</v>
      </c>
      <c r="D96" s="163">
        <v>1489</v>
      </c>
      <c r="E96" s="163">
        <v>5051</v>
      </c>
      <c r="F96" s="163">
        <v>225</v>
      </c>
      <c r="G96" s="163">
        <f t="shared" si="18"/>
        <v>6540</v>
      </c>
      <c r="H96" s="163">
        <v>2465</v>
      </c>
      <c r="I96" s="163">
        <f t="shared" si="17"/>
        <v>7395</v>
      </c>
      <c r="J96" s="163">
        <f t="shared" si="13"/>
        <v>13935</v>
      </c>
    </row>
    <row r="97" spans="1:10">
      <c r="A97" s="181" t="s">
        <v>40</v>
      </c>
      <c r="B97" s="163">
        <v>9074</v>
      </c>
      <c r="C97" s="5">
        <v>85.48</v>
      </c>
      <c r="D97" s="163">
        <v>13394</v>
      </c>
      <c r="E97" s="163">
        <v>16464</v>
      </c>
      <c r="F97" s="163">
        <v>405</v>
      </c>
      <c r="G97" s="163">
        <f t="shared" si="18"/>
        <v>29858</v>
      </c>
      <c r="H97" s="163">
        <v>5765</v>
      </c>
      <c r="I97" s="163">
        <f t="shared" si="17"/>
        <v>17295</v>
      </c>
      <c r="J97" s="163">
        <f t="shared" si="13"/>
        <v>47153</v>
      </c>
    </row>
    <row r="98" spans="1:10">
      <c r="A98" s="181" t="s">
        <v>41</v>
      </c>
      <c r="B98" s="163">
        <v>17233</v>
      </c>
      <c r="C98" s="5">
        <v>428.13</v>
      </c>
      <c r="D98" s="163">
        <v>6876</v>
      </c>
      <c r="E98" s="163">
        <v>11369</v>
      </c>
      <c r="F98" s="163">
        <v>849</v>
      </c>
      <c r="G98" s="163">
        <f t="shared" si="18"/>
        <v>18245</v>
      </c>
      <c r="H98" s="163">
        <v>10040</v>
      </c>
      <c r="I98" s="163">
        <f t="shared" si="17"/>
        <v>30120</v>
      </c>
      <c r="J98" s="163">
        <f t="shared" si="13"/>
        <v>48365</v>
      </c>
    </row>
    <row r="99" spans="1:10">
      <c r="A99" s="181" t="s">
        <v>42</v>
      </c>
      <c r="B99" s="163">
        <v>13218</v>
      </c>
      <c r="C99" s="5">
        <v>194.52</v>
      </c>
      <c r="D99" s="163">
        <v>7029</v>
      </c>
      <c r="E99" s="163">
        <v>16942</v>
      </c>
      <c r="F99" s="163">
        <v>1794</v>
      </c>
      <c r="G99" s="163">
        <f t="shared" si="18"/>
        <v>23971</v>
      </c>
      <c r="H99" s="163">
        <v>7295</v>
      </c>
      <c r="I99" s="163">
        <f t="shared" si="17"/>
        <v>21885</v>
      </c>
      <c r="J99" s="163">
        <f t="shared" si="13"/>
        <v>45856</v>
      </c>
    </row>
    <row r="100" spans="1:10">
      <c r="A100" s="181" t="s">
        <v>43</v>
      </c>
      <c r="B100" s="163">
        <v>1465</v>
      </c>
      <c r="C100" s="5">
        <v>73.23</v>
      </c>
      <c r="D100" s="163">
        <v>277</v>
      </c>
      <c r="E100" s="163">
        <v>1995</v>
      </c>
      <c r="F100" s="167">
        <v>234</v>
      </c>
      <c r="G100" s="163">
        <f t="shared" si="18"/>
        <v>2272</v>
      </c>
      <c r="H100" s="163">
        <v>2085</v>
      </c>
      <c r="I100" s="163">
        <f t="shared" si="17"/>
        <v>6255</v>
      </c>
      <c r="J100" s="163">
        <f t="shared" si="13"/>
        <v>8527</v>
      </c>
    </row>
    <row r="101" spans="1:10">
      <c r="A101" s="181" t="s">
        <v>44</v>
      </c>
      <c r="B101" s="163">
        <v>226</v>
      </c>
      <c r="C101" s="5">
        <v>7.78</v>
      </c>
      <c r="D101" s="163">
        <v>0</v>
      </c>
      <c r="E101" s="163">
        <v>278</v>
      </c>
      <c r="F101" s="163">
        <v>0</v>
      </c>
      <c r="G101" s="163">
        <f t="shared" si="18"/>
        <v>278</v>
      </c>
      <c r="H101" s="163">
        <v>128</v>
      </c>
      <c r="I101" s="163">
        <f t="shared" si="17"/>
        <v>384</v>
      </c>
      <c r="J101" s="163">
        <f t="shared" si="13"/>
        <v>662</v>
      </c>
    </row>
    <row r="102" spans="1:10">
      <c r="A102" s="181" t="s">
        <v>45</v>
      </c>
      <c r="B102" s="163">
        <v>288</v>
      </c>
      <c r="C102" s="5">
        <v>41.03</v>
      </c>
      <c r="D102" s="163">
        <v>37</v>
      </c>
      <c r="E102" s="163">
        <v>446</v>
      </c>
      <c r="F102" s="163">
        <v>0</v>
      </c>
      <c r="G102" s="163">
        <f t="shared" si="18"/>
        <v>483</v>
      </c>
      <c r="H102" s="163">
        <v>289</v>
      </c>
      <c r="I102" s="163">
        <f t="shared" si="17"/>
        <v>867</v>
      </c>
      <c r="J102" s="163">
        <f t="shared" si="13"/>
        <v>1350</v>
      </c>
    </row>
    <row r="103" spans="1:10">
      <c r="A103" s="181" t="s">
        <v>46</v>
      </c>
      <c r="B103" s="163">
        <v>2576</v>
      </c>
      <c r="C103" s="5">
        <v>73.180000000000007</v>
      </c>
      <c r="D103" s="163">
        <v>967</v>
      </c>
      <c r="E103" s="163">
        <v>4718</v>
      </c>
      <c r="F103" s="167">
        <v>180</v>
      </c>
      <c r="G103" s="163">
        <f t="shared" si="18"/>
        <v>5685</v>
      </c>
      <c r="H103" s="163">
        <v>2031</v>
      </c>
      <c r="I103" s="163">
        <f t="shared" si="17"/>
        <v>6093</v>
      </c>
      <c r="J103" s="163">
        <f t="shared" si="13"/>
        <v>11778</v>
      </c>
    </row>
    <row r="104" spans="1:10">
      <c r="A104" s="181" t="s">
        <v>47</v>
      </c>
      <c r="B104" s="163">
        <v>21669</v>
      </c>
      <c r="C104" s="5">
        <v>83.63</v>
      </c>
      <c r="D104" s="163">
        <v>2524</v>
      </c>
      <c r="E104" s="163">
        <v>5724</v>
      </c>
      <c r="F104" s="163">
        <v>183</v>
      </c>
      <c r="G104" s="163">
        <f t="shared" si="18"/>
        <v>8248</v>
      </c>
      <c r="H104" s="163">
        <v>7245</v>
      </c>
      <c r="I104" s="163">
        <f t="shared" si="17"/>
        <v>21735</v>
      </c>
      <c r="J104" s="163">
        <f t="shared" si="13"/>
        <v>29983</v>
      </c>
    </row>
    <row r="105" spans="1:10">
      <c r="A105" s="181" t="s">
        <v>48</v>
      </c>
      <c r="B105" s="163">
        <v>8684</v>
      </c>
      <c r="C105" s="5">
        <v>194.21</v>
      </c>
      <c r="D105" s="163">
        <v>2284</v>
      </c>
      <c r="E105" s="163">
        <v>5072</v>
      </c>
      <c r="F105" s="163">
        <v>189</v>
      </c>
      <c r="G105" s="163">
        <f t="shared" si="18"/>
        <v>7356</v>
      </c>
      <c r="H105" s="163">
        <v>6847</v>
      </c>
      <c r="I105" s="163">
        <f t="shared" si="17"/>
        <v>20541</v>
      </c>
      <c r="J105" s="163">
        <f t="shared" si="13"/>
        <v>27897</v>
      </c>
    </row>
    <row r="106" spans="1:10">
      <c r="A106" s="181" t="s">
        <v>49</v>
      </c>
      <c r="B106" s="163">
        <v>788</v>
      </c>
      <c r="C106" s="5">
        <v>32.07</v>
      </c>
      <c r="D106" s="163">
        <v>1025</v>
      </c>
      <c r="E106" s="163">
        <v>817</v>
      </c>
      <c r="F106" s="163">
        <v>150</v>
      </c>
      <c r="G106" s="163">
        <f t="shared" si="18"/>
        <v>1842</v>
      </c>
      <c r="H106" s="163">
        <v>476</v>
      </c>
      <c r="I106" s="163">
        <f t="shared" si="17"/>
        <v>1428</v>
      </c>
      <c r="J106" s="163">
        <f t="shared" si="13"/>
        <v>3270</v>
      </c>
    </row>
    <row r="107" spans="1:10">
      <c r="F107" s="167" t="s">
        <v>291</v>
      </c>
      <c r="G107" s="200"/>
    </row>
    <row r="108" spans="1:10">
      <c r="B108" s="201" t="s">
        <v>183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zoomScale="80" zoomScaleNormal="80" workbookViewId="0">
      <selection activeCell="O1" sqref="O1:Q1048576"/>
    </sheetView>
  </sheetViews>
  <sheetFormatPr defaultRowHeight="12.75"/>
  <cols>
    <col min="1" max="1" width="12.85546875" style="167" customWidth="1"/>
    <col min="2" max="2" width="11.7109375" style="167" customWidth="1"/>
    <col min="3" max="3" width="15.5703125" style="167" customWidth="1"/>
    <col min="4" max="4" width="15.7109375" style="167" customWidth="1"/>
    <col min="5" max="5" width="17" style="167" customWidth="1"/>
    <col min="6" max="6" width="12.85546875" style="167" customWidth="1"/>
    <col min="7" max="7" width="16.28515625" style="167" customWidth="1"/>
    <col min="8" max="8" width="16.85546875" style="167" customWidth="1"/>
    <col min="9" max="9" width="13" style="167" customWidth="1"/>
    <col min="10" max="10" width="13.85546875" style="167" customWidth="1"/>
    <col min="11" max="12" width="13" style="167" customWidth="1"/>
    <col min="13" max="13" width="12.7109375" style="167" customWidth="1"/>
    <col min="14" max="14" width="12.42578125" style="167" customWidth="1"/>
    <col min="15" max="16384" width="9.140625" style="167"/>
  </cols>
  <sheetData>
    <row r="1" spans="1:14">
      <c r="F1" s="168" t="s">
        <v>187</v>
      </c>
    </row>
    <row r="2" spans="1:14" ht="13.5" thickBot="1">
      <c r="F2" s="168"/>
    </row>
    <row r="3" spans="1:14" ht="13.5" thickBot="1">
      <c r="A3" s="168"/>
      <c r="B3" s="250">
        <v>2012</v>
      </c>
      <c r="C3" s="251"/>
      <c r="D3" s="251"/>
      <c r="E3" s="251"/>
      <c r="F3" s="251"/>
      <c r="G3" s="252"/>
      <c r="H3" s="253">
        <v>2019</v>
      </c>
      <c r="I3" s="254"/>
      <c r="J3" s="254"/>
      <c r="K3" s="254"/>
      <c r="L3" s="254"/>
      <c r="M3" s="254"/>
      <c r="N3" s="255"/>
    </row>
    <row r="4" spans="1:14" s="174" customFormat="1" ht="38.25">
      <c r="A4" s="169" t="s">
        <v>58</v>
      </c>
      <c r="B4" s="170" t="s">
        <v>120</v>
      </c>
      <c r="C4" s="170" t="s">
        <v>121</v>
      </c>
      <c r="D4" s="170" t="s">
        <v>182</v>
      </c>
      <c r="E4" s="170" t="s">
        <v>53</v>
      </c>
      <c r="F4" s="171" t="s">
        <v>54</v>
      </c>
      <c r="G4" s="171" t="s">
        <v>55</v>
      </c>
      <c r="H4" s="172" t="str">
        <f>supply!A56</f>
        <v>islands</v>
      </c>
      <c r="I4" s="172" t="s">
        <v>120</v>
      </c>
      <c r="J4" s="172" t="s">
        <v>288</v>
      </c>
      <c r="K4" s="172" t="s">
        <v>182</v>
      </c>
      <c r="L4" s="172" t="s">
        <v>53</v>
      </c>
      <c r="M4" s="173" t="s">
        <v>54</v>
      </c>
      <c r="N4" s="173" t="s">
        <v>55</v>
      </c>
    </row>
    <row r="5" spans="1:14">
      <c r="A5" s="175" t="str">
        <f xml:space="preserve"> supply!A4</f>
        <v>RVA</v>
      </c>
      <c r="B5" s="176">
        <f>supply!G4/supply!B4</f>
        <v>0.19641019720826577</v>
      </c>
      <c r="C5" s="176">
        <f>supply!I4/supply!B4</f>
        <v>1.0787929589270746</v>
      </c>
      <c r="D5" s="176">
        <f>supply!G4/supply!C4</f>
        <v>10.279993274697098</v>
      </c>
      <c r="E5" s="176">
        <f>supply!J4/supply!B4</f>
        <v>1.2752031561353403</v>
      </c>
      <c r="F5" s="176">
        <f>supply!J4/supply!C4</f>
        <v>66.743377152885046</v>
      </c>
      <c r="G5" s="177">
        <f>(supply!J4+supply!B4)/supply!C4</f>
        <v>119.08278427540115</v>
      </c>
      <c r="H5" s="175" t="str">
        <f>supply!A57</f>
        <v>RVA</v>
      </c>
      <c r="I5" s="178">
        <f>supply!G57/supply!B57</f>
        <v>0.1948466887383897</v>
      </c>
      <c r="J5" s="178">
        <f>supply!H57/supply!B57</f>
        <v>0.36047517937467927</v>
      </c>
      <c r="K5" s="178">
        <f>supply!G57/supply!C57</f>
        <v>10.173334173996196</v>
      </c>
      <c r="L5" s="178">
        <f>supply!J57/supply!B57</f>
        <v>1.2762722268624274</v>
      </c>
      <c r="M5" s="178">
        <f>supply!J57/supply!C57</f>
        <v>66.63671805218415</v>
      </c>
      <c r="N5" s="178">
        <f>(supply!J57+supply!B57)/supply!C57</f>
        <v>118.84871220957726</v>
      </c>
    </row>
    <row r="6" spans="1:14">
      <c r="A6" s="175" t="str">
        <f xml:space="preserve"> supply!A5</f>
        <v>Ag.Efstratios</v>
      </c>
      <c r="B6" s="176">
        <f>supply!G5/supply!B5</f>
        <v>0.11851851851851852</v>
      </c>
      <c r="C6" s="176">
        <f>supply!I5/supply!B5</f>
        <v>1.8111111111111111</v>
      </c>
      <c r="D6" s="176">
        <f>supply!G5/supply!C5</f>
        <v>0.74022669442516775</v>
      </c>
      <c r="E6" s="176">
        <f>supply!J5/supply!B5</f>
        <v>1.9296296296296296</v>
      </c>
      <c r="F6" s="176">
        <f>supply!J5/supply!C5</f>
        <v>12.051815868609763</v>
      </c>
      <c r="G6" s="177">
        <f>(supply!J5+supply!B5)/supply!C5</f>
        <v>18.297478602822114</v>
      </c>
      <c r="H6" s="175" t="str">
        <f>supply!A58</f>
        <v>Ag.Efstratios</v>
      </c>
      <c r="I6" s="178">
        <f>supply!G58/supply!B58</f>
        <v>0.15547703180212014</v>
      </c>
      <c r="J6" s="178">
        <f>supply!H58/supply!B58</f>
        <v>0.57597173144876324</v>
      </c>
      <c r="K6" s="178">
        <f>supply!G58/supply!C58</f>
        <v>1.0178117048346056</v>
      </c>
      <c r="L6" s="178">
        <f>supply!J58/supply!B58</f>
        <v>1.88339222614841</v>
      </c>
      <c r="M6" s="178">
        <f>supply!J58/supply!C58</f>
        <v>12.3294008790192</v>
      </c>
      <c r="N6" s="178">
        <f>(supply!J58+supply!B58)/supply!C58</f>
        <v>18.875780707841777</v>
      </c>
    </row>
    <row r="7" spans="1:14">
      <c r="A7" s="175" t="str">
        <f xml:space="preserve"> supply!A6</f>
        <v>Lesvos</v>
      </c>
      <c r="B7" s="176">
        <f>supply!G6/supply!B6</f>
        <v>0.15534036743949281</v>
      </c>
      <c r="C7" s="176">
        <f>supply!I6/supply!B6</f>
        <v>1.0130848257670415</v>
      </c>
      <c r="D7" s="176">
        <f>supply!G6/supply!C6</f>
        <v>8.2355033795802193</v>
      </c>
      <c r="E7" s="176">
        <f>supply!J6/supply!B6</f>
        <v>1.1684251932065344</v>
      </c>
      <c r="F7" s="176">
        <f>supply!J6/supply!C6</f>
        <v>61.945068020952164</v>
      </c>
      <c r="G7" s="177">
        <f>(supply!J6+supply!B6)/supply!C6</f>
        <v>114.96092935389295</v>
      </c>
      <c r="H7" s="175" t="str">
        <f>supply!A59</f>
        <v>Lesvos</v>
      </c>
      <c r="I7" s="178">
        <f>supply!G59/supply!B59</f>
        <v>0.14704792347068771</v>
      </c>
      <c r="J7" s="178">
        <f>supply!H59/supply!B59</f>
        <v>0.33804692747782178</v>
      </c>
      <c r="K7" s="178">
        <f>supply!G59/supply!C59</f>
        <v>7.787755001901397</v>
      </c>
      <c r="L7" s="178">
        <f>supply!J59/supply!B59</f>
        <v>1.161188705904153</v>
      </c>
      <c r="M7" s="178">
        <f>supply!J59/supply!C59</f>
        <v>61.497319643273343</v>
      </c>
      <c r="N7" s="178">
        <f>(supply!J59+supply!B59)/supply!C59</f>
        <v>114.4579791214318</v>
      </c>
    </row>
    <row r="8" spans="1:14">
      <c r="A8" s="175" t="str">
        <f xml:space="preserve"> supply!A7</f>
        <v>Limnos</v>
      </c>
      <c r="B8" s="176">
        <f>supply!G7/supply!B7</f>
        <v>0.17108050847457626</v>
      </c>
      <c r="C8" s="176">
        <f>supply!I7/supply!B7</f>
        <v>1.2238700564971752</v>
      </c>
      <c r="D8" s="176">
        <f>supply!G7/supply!C7</f>
        <v>6.1121507117175833</v>
      </c>
      <c r="E8" s="176">
        <f>supply!J7/supply!B7</f>
        <v>1.3949505649717515</v>
      </c>
      <c r="F8" s="176">
        <f>supply!J7/supply!C7</f>
        <v>49.837051365614684</v>
      </c>
      <c r="G8" s="177">
        <f>(supply!J7+supply!B7)/supply!C7</f>
        <v>85.563802274973185</v>
      </c>
      <c r="H8" s="175" t="str">
        <f>supply!A60</f>
        <v>Limnos</v>
      </c>
      <c r="I8" s="178">
        <f>supply!G60/supply!B60</f>
        <v>0.19629955947136563</v>
      </c>
      <c r="J8" s="178">
        <f>supply!H60/supply!B60</f>
        <v>0.40716593245227606</v>
      </c>
      <c r="K8" s="178">
        <f>supply!G60/supply!C60</f>
        <v>7.0267656272996781</v>
      </c>
      <c r="L8" s="178">
        <f>supply!J60/supply!B60</f>
        <v>1.4177973568281939</v>
      </c>
      <c r="M8" s="178">
        <f>supply!J60/supply!C60</f>
        <v>50.751666281196776</v>
      </c>
      <c r="N8" s="178">
        <f>(supply!J60+supply!B60)/supply!C60</f>
        <v>86.547801770358063</v>
      </c>
    </row>
    <row r="9" spans="1:14">
      <c r="A9" s="175" t="str">
        <f xml:space="preserve"> supply!A8</f>
        <v>Ikaria</v>
      </c>
      <c r="B9" s="176">
        <f>supply!G8/supply!B8</f>
        <v>0.25347263445328266</v>
      </c>
      <c r="C9" s="176">
        <f>supply!I8/supply!B8</f>
        <v>1.5838774783331355</v>
      </c>
      <c r="D9" s="176">
        <f>supply!G8/supply!C8</f>
        <v>8.3633657160764656</v>
      </c>
      <c r="E9" s="176">
        <f>supply!J8/supply!B8</f>
        <v>1.8373501127864182</v>
      </c>
      <c r="F9" s="176">
        <f>supply!J8/supply!C8</f>
        <v>60.623628956439987</v>
      </c>
      <c r="G9" s="177">
        <f>(supply!J8+supply!B8)/supply!C8</f>
        <v>93.61877154497023</v>
      </c>
      <c r="H9" s="175" t="str">
        <f>supply!A61</f>
        <v>Ikaria</v>
      </c>
      <c r="I9" s="178">
        <f>supply!G61/supply!B61</f>
        <v>0.26252481606913464</v>
      </c>
      <c r="J9" s="178">
        <f>supply!H61/supply!B61</f>
        <v>0.5193273385495738</v>
      </c>
      <c r="K9" s="178">
        <f>supply!G61/supply!C61</f>
        <v>8.8060169225947984</v>
      </c>
      <c r="L9" s="178">
        <f>supply!J61/supply!B61</f>
        <v>1.8205068317178559</v>
      </c>
      <c r="M9" s="178">
        <f>supply!J61/supply!C61</f>
        <v>61.066280162958321</v>
      </c>
      <c r="N9" s="178">
        <f>(supply!J61+supply!B61)/supply!C61</f>
        <v>94.609840175493574</v>
      </c>
    </row>
    <row r="10" spans="1:14">
      <c r="A10" s="175" t="str">
        <f xml:space="preserve"> supply!A9</f>
        <v>Fourni</v>
      </c>
      <c r="B10" s="176">
        <f>supply!G9/supply!B9</f>
        <v>0.26250856751199453</v>
      </c>
      <c r="C10" s="176">
        <f>supply!I9/supply!B9</f>
        <v>1.3961617546264564</v>
      </c>
      <c r="D10" s="176">
        <f>supply!G9/supply!C9</f>
        <v>12.652791542781632</v>
      </c>
      <c r="E10" s="176">
        <f>supply!J9/supply!B9</f>
        <v>1.6586703221384509</v>
      </c>
      <c r="F10" s="176">
        <f>supply!J9/supply!C9</f>
        <v>79.947142385199868</v>
      </c>
      <c r="G10" s="177">
        <f>(supply!J9+supply!B9)/supply!C9</f>
        <v>128.14667988107036</v>
      </c>
      <c r="H10" s="175" t="str">
        <f>supply!A62</f>
        <v>Fourni</v>
      </c>
      <c r="I10" s="178">
        <f>supply!G62/supply!B62</f>
        <v>0.18965517241379309</v>
      </c>
      <c r="J10" s="178">
        <f>supply!H62/supply!B62</f>
        <v>0.45026525198938994</v>
      </c>
      <c r="K10" s="178">
        <f>supply!G62/supply!C62</f>
        <v>9.4482986455236215</v>
      </c>
      <c r="L10" s="178">
        <f>supply!J62/supply!B62</f>
        <v>1.540450928381963</v>
      </c>
      <c r="M10" s="178">
        <f>supply!J62/supply!C62</f>
        <v>76.742649487941861</v>
      </c>
      <c r="N10" s="178">
        <f>(supply!J62+supply!B62)/supply!C62</f>
        <v>126.56095143706641</v>
      </c>
    </row>
    <row r="11" spans="1:14">
      <c r="A11" s="175" t="str">
        <f xml:space="preserve"> supply!A10</f>
        <v>Samos</v>
      </c>
      <c r="B11" s="176">
        <f>supply!G10/supply!B10</f>
        <v>0.45555993571276948</v>
      </c>
      <c r="C11" s="176">
        <f>supply!I10/supply!B10</f>
        <v>1.1881007975255482</v>
      </c>
      <c r="D11" s="176">
        <f>supply!G10/supply!C10</f>
        <v>31.547669046619067</v>
      </c>
      <c r="E11" s="176">
        <f>supply!J10/supply!B10</f>
        <v>1.6436607332383175</v>
      </c>
      <c r="F11" s="176">
        <f>supply!J10/supply!C10</f>
        <v>113.82402351952962</v>
      </c>
      <c r="G11" s="177">
        <f>(supply!J10+supply!B10)/supply!C10</f>
        <v>183.07433851322975</v>
      </c>
      <c r="H11" s="175" t="str">
        <f>supply!A63</f>
        <v>Samos</v>
      </c>
      <c r="I11" s="178">
        <f>supply!G63/supply!B63</f>
        <v>0.44072376210571057</v>
      </c>
      <c r="J11" s="178">
        <f>supply!H63/supply!B63</f>
        <v>0.39649048240687329</v>
      </c>
      <c r="K11" s="178">
        <f>supply!G63/supply!C63</f>
        <v>30.485090298194038</v>
      </c>
      <c r="L11" s="178">
        <f>supply!J63/supply!B63</f>
        <v>1.6301952093263306</v>
      </c>
      <c r="M11" s="178">
        <f>supply!J63/supply!C63</f>
        <v>112.76144477110458</v>
      </c>
      <c r="N11" s="178">
        <f>(supply!J63+supply!B63)/supply!C63</f>
        <v>181.93196136077279</v>
      </c>
    </row>
    <row r="12" spans="1:14">
      <c r="A12" s="175" t="str">
        <f xml:space="preserve"> supply!A11</f>
        <v>Chios</v>
      </c>
      <c r="B12" s="176">
        <f>supply!G11/supply!B11</f>
        <v>0.10116754232340923</v>
      </c>
      <c r="C12" s="176">
        <f>supply!I11/supply!B11</f>
        <v>0.97933450087565677</v>
      </c>
      <c r="D12" s="176">
        <f>supply!G11/supply!C11</f>
        <v>6.177665819054635</v>
      </c>
      <c r="E12" s="176">
        <f>supply!J11/supply!B11</f>
        <v>1.080502043199066</v>
      </c>
      <c r="F12" s="176">
        <f>supply!J11/supply!C11</f>
        <v>65.979467192661417</v>
      </c>
      <c r="G12" s="177">
        <f>(supply!J11+supply!B11)/supply!C11</f>
        <v>127.0431806839516</v>
      </c>
      <c r="H12" s="175" t="str">
        <f>supply!A64</f>
        <v>Chios</v>
      </c>
      <c r="I12" s="178">
        <f>supply!G64/supply!B64</f>
        <v>0.10913605549424563</v>
      </c>
      <c r="J12" s="178">
        <f>supply!H64/supply!B64</f>
        <v>0.33060066214724892</v>
      </c>
      <c r="K12" s="178">
        <f>supply!G64/supply!C64</f>
        <v>6.5804795741343662</v>
      </c>
      <c r="L12" s="178">
        <f>supply!J64/supply!B64</f>
        <v>1.1009380419359924</v>
      </c>
      <c r="M12" s="178">
        <f>supply!J64/supply!C64</f>
        <v>66.382280947741151</v>
      </c>
      <c r="N12" s="178">
        <f>(supply!J64+supply!B64)/supply!C64</f>
        <v>126.67839064616554</v>
      </c>
    </row>
    <row r="13" spans="1:14">
      <c r="A13" s="175" t="str">
        <f xml:space="preserve"> supply!A12</f>
        <v>Oinoussai</v>
      </c>
      <c r="B13" s="176">
        <f>supply!G12/supply!B12</f>
        <v>0</v>
      </c>
      <c r="C13" s="176">
        <f>supply!I12/supply!B12</f>
        <v>0.94794188861985473</v>
      </c>
      <c r="D13" s="176">
        <f>supply!G12/supply!C12</f>
        <v>0</v>
      </c>
      <c r="E13" s="176">
        <f>supply!J12/supply!B12</f>
        <v>0.94794188861985473</v>
      </c>
      <c r="F13" s="176">
        <f>supply!J12/supply!C12</f>
        <v>55.140845070422536</v>
      </c>
      <c r="G13" s="177">
        <f>(supply!J12+supply!B12)/supply!C12</f>
        <v>113.30985915492958</v>
      </c>
      <c r="H13" s="175" t="str">
        <f>supply!A65</f>
        <v>Oinoussai</v>
      </c>
      <c r="I13" s="178">
        <f>supply!G65/supply!B65</f>
        <v>0</v>
      </c>
      <c r="J13" s="178">
        <f>supply!H65/supply!B65</f>
        <v>0.31370192307692307</v>
      </c>
      <c r="K13" s="178">
        <f>supply!G65/supply!C65</f>
        <v>0</v>
      </c>
      <c r="L13" s="178">
        <f>supply!J65/supply!B65</f>
        <v>0.94110576923076927</v>
      </c>
      <c r="M13" s="178">
        <f>supply!J65/supply!C65</f>
        <v>55.140845070422536</v>
      </c>
      <c r="N13" s="178">
        <f>(supply!J65+supply!B65)/supply!C65</f>
        <v>113.73239436619718</v>
      </c>
    </row>
    <row r="14" spans="1:14">
      <c r="A14" s="175" t="str">
        <f xml:space="preserve"> supply!A13</f>
        <v>Psara</v>
      </c>
      <c r="B14" s="176">
        <f>supply!G13/supply!B13</f>
        <v>5.458515283842795E-2</v>
      </c>
      <c r="C14" s="176">
        <f>supply!I13/supply!B13</f>
        <v>0.89082969432314407</v>
      </c>
      <c r="D14" s="176">
        <f>supply!G13/supply!C13</f>
        <v>0.628614533568016</v>
      </c>
      <c r="E14" s="176">
        <f>supply!J13/supply!B13</f>
        <v>0.94541484716157209</v>
      </c>
      <c r="F14" s="176">
        <f>supply!J13/supply!C13</f>
        <v>10.887603721398039</v>
      </c>
      <c r="G14" s="177">
        <f>(supply!J13+supply!B13)/supply!C13</f>
        <v>22.403821976364092</v>
      </c>
      <c r="H14" s="175" t="str">
        <f>supply!A66</f>
        <v>Psara</v>
      </c>
      <c r="I14" s="178">
        <f>supply!G66/supply!B66</f>
        <v>0.1111111111111111</v>
      </c>
      <c r="J14" s="178">
        <f>supply!H66/supply!B66</f>
        <v>0.28511530398322849</v>
      </c>
      <c r="K14" s="178">
        <f>supply!G66/supply!C66</f>
        <v>1.332662811164194</v>
      </c>
      <c r="L14" s="178">
        <f>supply!J66/supply!B66</f>
        <v>0.96645702306079662</v>
      </c>
      <c r="M14" s="178">
        <f>supply!J66/supply!C66</f>
        <v>11.591651998994216</v>
      </c>
      <c r="N14" s="178">
        <f>(supply!J66+supply!B66)/supply!C66</f>
        <v>23.585617299471963</v>
      </c>
    </row>
    <row r="15" spans="1:14">
      <c r="A15" s="175" t="str">
        <f xml:space="preserve"> supply!A14</f>
        <v>RNA</v>
      </c>
      <c r="B15" s="176">
        <f>supply!G14/supply!B14</f>
        <v>0.92623998705396882</v>
      </c>
      <c r="C15" s="176">
        <f>supply!I14/supply!B14</f>
        <v>1.0999919087304799</v>
      </c>
      <c r="D15" s="176">
        <f>supply!G14/supply!C14</f>
        <v>57.410149009412386</v>
      </c>
      <c r="E15" s="176">
        <f>supply!J14/supply!B14</f>
        <v>2.0262318957844485</v>
      </c>
      <c r="F15" s="176">
        <f>supply!J14/supply!C14</f>
        <v>125.5897787727787</v>
      </c>
      <c r="G15" s="177">
        <f>(supply!J14+supply!B14)/supply!C14</f>
        <v>187.57171629634979</v>
      </c>
      <c r="H15" s="175" t="str">
        <f>supply!A67</f>
        <v>RNA</v>
      </c>
      <c r="I15" s="178">
        <f>supply!G67/supply!B67</f>
        <v>1.2540487413362718</v>
      </c>
      <c r="J15" s="178">
        <f>supply!H67/supply!B67</f>
        <v>0.385285095326518</v>
      </c>
      <c r="K15" s="178">
        <f>supply!G67/supply!C67</f>
        <v>73.971698643107615</v>
      </c>
      <c r="L15" s="178">
        <f>supply!J67/supply!B67</f>
        <v>2.4099040273158256</v>
      </c>
      <c r="M15" s="178">
        <f>supply!J67/supply!C67</f>
        <v>142.15132840647394</v>
      </c>
      <c r="N15" s="178">
        <f>(supply!J67+supply!B67)/supply!C67</f>
        <v>201.13763109538368</v>
      </c>
    </row>
    <row r="16" spans="1:14">
      <c r="A16" s="175" t="str">
        <f xml:space="preserve"> supply!A15</f>
        <v>Agathonissi</v>
      </c>
      <c r="B16" s="176">
        <f>supply!G15/supply!B15</f>
        <v>0.18378378378378379</v>
      </c>
      <c r="C16" s="176">
        <f>supply!I15/supply!B15</f>
        <v>0.56756756756756754</v>
      </c>
      <c r="D16" s="176">
        <f>supply!G15/supply!C15</f>
        <v>2.5185185185185186</v>
      </c>
      <c r="E16" s="176">
        <f>supply!J15/supply!B15</f>
        <v>0.75135135135135134</v>
      </c>
      <c r="F16" s="176">
        <f>supply!J15/supply!C15</f>
        <v>10.296296296296296</v>
      </c>
      <c r="G16" s="177">
        <f>(supply!J15+supply!B15)/supply!C15</f>
        <v>24</v>
      </c>
      <c r="H16" s="175" t="str">
        <f>supply!A68</f>
        <v>Agathonissi</v>
      </c>
      <c r="I16" s="178">
        <f>supply!G68/supply!B68</f>
        <v>0.21164021164021163</v>
      </c>
      <c r="J16" s="178">
        <f>supply!H68/supply!B68</f>
        <v>0.18518518518518517</v>
      </c>
      <c r="K16" s="178">
        <f>supply!G68/supply!C68</f>
        <v>2.9629629629629628</v>
      </c>
      <c r="L16" s="178">
        <f>supply!J68/supply!B68</f>
        <v>0.76719576719576721</v>
      </c>
      <c r="M16" s="178">
        <f>supply!J68/supply!C68</f>
        <v>10.74074074074074</v>
      </c>
      <c r="N16" s="178">
        <f>(supply!J68+supply!B68)/supply!C68</f>
        <v>24.74074074074074</v>
      </c>
    </row>
    <row r="17" spans="1:14">
      <c r="A17" s="175" t="str">
        <f xml:space="preserve"> supply!A16</f>
        <v>Astypalaia</v>
      </c>
      <c r="B17" s="176">
        <f>supply!G16/supply!B16</f>
        <v>1.131184407796102</v>
      </c>
      <c r="C17" s="176">
        <f>supply!I16/supply!B16</f>
        <v>1.6956521739130435</v>
      </c>
      <c r="D17" s="176">
        <f>supply!G16/supply!C16</f>
        <v>15.580795043882294</v>
      </c>
      <c r="E17" s="176">
        <f>supply!J16/supply!B16</f>
        <v>2.8268365817091454</v>
      </c>
      <c r="F17" s="176">
        <f>supply!J16/supply!C16</f>
        <v>38.936499741868872</v>
      </c>
      <c r="G17" s="177">
        <f>(supply!J16+supply!B16)/supply!C16</f>
        <v>52.710376871450698</v>
      </c>
      <c r="H17" s="175" t="str">
        <f>supply!A69</f>
        <v>Astypalaia</v>
      </c>
      <c r="I17" s="178">
        <f>supply!G69/supply!B69</f>
        <v>1.2308856926570779</v>
      </c>
      <c r="J17" s="178">
        <f>supply!H69/supply!B69</f>
        <v>0.57077971233913705</v>
      </c>
      <c r="K17" s="178">
        <f>supply!G69/supply!C69</f>
        <v>16.788848735157462</v>
      </c>
      <c r="L17" s="178">
        <f>supply!J69/supply!B69</f>
        <v>2.943224829674489</v>
      </c>
      <c r="M17" s="178">
        <f>supply!J69/supply!C69</f>
        <v>40.14455343314404</v>
      </c>
      <c r="N17" s="178">
        <f>(supply!J69+supply!B69)/supply!C69</f>
        <v>53.784202374806405</v>
      </c>
    </row>
    <row r="18" spans="1:14">
      <c r="A18" s="175" t="str">
        <f xml:space="preserve"> supply!A17</f>
        <v>Kalymnos</v>
      </c>
      <c r="B18" s="176">
        <f>supply!G17/supply!B17</f>
        <v>0.1696025712343161</v>
      </c>
      <c r="C18" s="176">
        <f>supply!I17/supply!B17</f>
        <v>0.75968848507324305</v>
      </c>
      <c r="D18" s="176">
        <f>supply!G17/supply!C17</f>
        <v>24.747474747474747</v>
      </c>
      <c r="E18" s="176">
        <f>supply!J17/supply!B17</f>
        <v>0.92929105630755915</v>
      </c>
      <c r="F18" s="176">
        <f>supply!J17/supply!C17</f>
        <v>135.59704184704185</v>
      </c>
      <c r="G18" s="177">
        <f>(supply!J17+supply!B17)/supply!C17</f>
        <v>281.511544011544</v>
      </c>
      <c r="H18" s="175" t="str">
        <f>supply!A70</f>
        <v>Kalymnos</v>
      </c>
      <c r="I18" s="178">
        <f>supply!G70/supply!B70</f>
        <v>0.19005904873142559</v>
      </c>
      <c r="J18" s="178">
        <f>supply!H70/supply!B70</f>
        <v>0.26584906884692749</v>
      </c>
      <c r="K18" s="178">
        <f>supply!G70/supply!C70</f>
        <v>26.415945165945168</v>
      </c>
      <c r="L18" s="178">
        <f>supply!J70/supply!B70</f>
        <v>0.98760625527220813</v>
      </c>
      <c r="M18" s="178">
        <f>supply!J70/supply!C70</f>
        <v>137.26551226551229</v>
      </c>
      <c r="N18" s="178">
        <f>(supply!J70+supply!B70)/supply!C70</f>
        <v>276.2536075036075</v>
      </c>
    </row>
    <row r="19" spans="1:14">
      <c r="A19" s="175" t="str">
        <f xml:space="preserve"> supply!A18</f>
        <v>Karpathos</v>
      </c>
      <c r="B19" s="176">
        <f>supply!G18/supply!B18</f>
        <v>1.1172502409251526</v>
      </c>
      <c r="C19" s="176">
        <f>supply!I18/supply!B18</f>
        <v>2.0150979762287182</v>
      </c>
      <c r="D19" s="176">
        <f>supply!G18/supply!C18</f>
        <v>23.095823095823096</v>
      </c>
      <c r="E19" s="176">
        <f>supply!J18/supply!B18</f>
        <v>3.1323482171538708</v>
      </c>
      <c r="F19" s="176">
        <f>supply!J18/supply!C18</f>
        <v>64.75197556278637</v>
      </c>
      <c r="G19" s="177">
        <f>(supply!J18+supply!B18)/supply!C18</f>
        <v>85.423998937512451</v>
      </c>
      <c r="H19" s="175" t="str">
        <f>supply!A71</f>
        <v>Karpathos</v>
      </c>
      <c r="I19" s="178">
        <f>supply!G71/supply!B71</f>
        <v>1.2612296909843899</v>
      </c>
      <c r="J19" s="178">
        <f>supply!H71/supply!B71</f>
        <v>0.66613571201019428</v>
      </c>
      <c r="K19" s="178">
        <f>supply!G71/supply!C71</f>
        <v>26.289926289926289</v>
      </c>
      <c r="L19" s="178">
        <f>supply!J71/supply!B71</f>
        <v>3.2596368270149729</v>
      </c>
      <c r="M19" s="178">
        <f>supply!J71/supply!C71</f>
        <v>67.946078756889563</v>
      </c>
      <c r="N19" s="178">
        <f>(supply!J71+supply!B71)/supply!C71</f>
        <v>88.790756358323918</v>
      </c>
    </row>
    <row r="20" spans="1:14">
      <c r="A20" s="175" t="str">
        <f xml:space="preserve"> supply!A19</f>
        <v>Kasos</v>
      </c>
      <c r="B20" s="176">
        <f>supply!G19/supply!B19</f>
        <v>0.11623616236162361</v>
      </c>
      <c r="C20" s="176">
        <f>supply!I19/supply!B19</f>
        <v>2.3523985239852396</v>
      </c>
      <c r="D20" s="176">
        <f>supply!G19/supply!C19</f>
        <v>1.9096695968475295</v>
      </c>
      <c r="E20" s="176">
        <f>supply!J19/supply!B19</f>
        <v>2.4686346863468636</v>
      </c>
      <c r="F20" s="176">
        <f>supply!J19/supply!C19</f>
        <v>40.557744771142765</v>
      </c>
      <c r="G20" s="177">
        <f>(supply!J19+supply!B19)/supply!C19</f>
        <v>56.986965747196116</v>
      </c>
      <c r="H20" s="175" t="str">
        <f>supply!A72</f>
        <v>Kasos</v>
      </c>
      <c r="I20" s="178">
        <f>supply!G72/supply!B72</f>
        <v>0.20271493212669683</v>
      </c>
      <c r="J20" s="178">
        <f>supply!H72/supply!B72</f>
        <v>0.76923076923076927</v>
      </c>
      <c r="K20" s="178">
        <f>supply!G72/supply!C72</f>
        <v>3.3949681721733858</v>
      </c>
      <c r="L20" s="178">
        <f>supply!J72/supply!B72</f>
        <v>2.5104072398190045</v>
      </c>
      <c r="M20" s="178">
        <f>supply!J72/supply!C72</f>
        <v>42.043043346468622</v>
      </c>
      <c r="N20" s="178">
        <f>(supply!J72+supply!B72)/supply!C72</f>
        <v>58.790542588663229</v>
      </c>
    </row>
    <row r="21" spans="1:14">
      <c r="A21" s="175" t="str">
        <f xml:space="preserve"> supply!A20</f>
        <v>Kos</v>
      </c>
      <c r="B21" s="176">
        <f>supply!G20/supply!B20</f>
        <v>1.6259434527375105</v>
      </c>
      <c r="C21" s="176">
        <f>supply!I20/supply!B20</f>
        <v>0.52366119563915181</v>
      </c>
      <c r="D21" s="176">
        <f>supply!G20/supply!C20</f>
        <v>187.01598456662535</v>
      </c>
      <c r="E21" s="176">
        <f>supply!J20/supply!B20</f>
        <v>2.1496046483766622</v>
      </c>
      <c r="F21" s="176">
        <f>supply!J20/supply!C20</f>
        <v>247.24748518671629</v>
      </c>
      <c r="G21" s="177">
        <f>(supply!J20+supply!B20)/supply!C20</f>
        <v>362.26746589499794</v>
      </c>
      <c r="H21" s="175" t="str">
        <f>supply!A73</f>
        <v>Kos</v>
      </c>
      <c r="I21" s="178">
        <f>supply!G73/supply!B73</f>
        <v>1.9913303243822451</v>
      </c>
      <c r="J21" s="178">
        <f>supply!H73/supply!B73</f>
        <v>0.1892392116115206</v>
      </c>
      <c r="K21" s="178">
        <f>supply!G73/supply!C73</f>
        <v>211.26843048091499</v>
      </c>
      <c r="L21" s="178">
        <f>supply!J73/supply!B73</f>
        <v>2.5590479592168069</v>
      </c>
      <c r="M21" s="178">
        <f>supply!J73/supply!C73</f>
        <v>271.49993110100593</v>
      </c>
      <c r="N21" s="178">
        <f>(supply!J73+supply!B73)/supply!C73</f>
        <v>377.59404712691196</v>
      </c>
    </row>
    <row r="22" spans="1:14">
      <c r="A22" s="175" t="str">
        <f xml:space="preserve"> supply!A21</f>
        <v>Lipsi</v>
      </c>
      <c r="B22" s="176">
        <f>supply!G21/supply!B21</f>
        <v>0.34050632911392403</v>
      </c>
      <c r="C22" s="176">
        <f>supply!I21/supply!B21</f>
        <v>1.4658227848101266</v>
      </c>
      <c r="D22" s="176">
        <f>supply!G21/supply!C21</f>
        <v>16.833541927409261</v>
      </c>
      <c r="E22" s="176">
        <f>supply!J21/supply!B21</f>
        <v>1.8063291139240507</v>
      </c>
      <c r="F22" s="176">
        <f>supply!J21/supply!C21</f>
        <v>89.2991239048811</v>
      </c>
      <c r="G22" s="177">
        <f>(supply!J21+supply!B21)/supply!C21</f>
        <v>138.73591989987483</v>
      </c>
      <c r="H22" s="175" t="str">
        <f>supply!A74</f>
        <v>Lipsi</v>
      </c>
      <c r="I22" s="178">
        <f>supply!G74/supply!B74</f>
        <v>0.73145780051150899</v>
      </c>
      <c r="J22" s="178">
        <f>supply!H74/supply!B74</f>
        <v>0.49360613810741688</v>
      </c>
      <c r="K22" s="178">
        <f>supply!G74/supply!C74</f>
        <v>35.794743429286605</v>
      </c>
      <c r="L22" s="178">
        <f>supply!J74/supply!B74</f>
        <v>2.2122762148337598</v>
      </c>
      <c r="M22" s="178">
        <f>supply!J74/supply!C74</f>
        <v>108.26032540675844</v>
      </c>
      <c r="N22" s="178">
        <f>(supply!J74+supply!B74)/supply!C74</f>
        <v>157.1964956195244</v>
      </c>
    </row>
    <row r="23" spans="1:14">
      <c r="A23" s="175" t="str">
        <f xml:space="preserve"> supply!A22</f>
        <v>Leros</v>
      </c>
      <c r="B23" s="176">
        <f>supply!G22/supply!B22</f>
        <v>0.27333585954275608</v>
      </c>
      <c r="C23" s="176">
        <f>supply!I22/supply!B22</f>
        <v>0.88101553618795003</v>
      </c>
      <c r="D23" s="176">
        <f>supply!G22/supply!C22</f>
        <v>40.868744098205852</v>
      </c>
      <c r="E23" s="176">
        <f>supply!J22/supply!B22</f>
        <v>1.1543513957307061</v>
      </c>
      <c r="F23" s="176">
        <f>supply!J22/supply!C22</f>
        <v>172.59678942398489</v>
      </c>
      <c r="G23" s="177">
        <f>(supply!J22+supply!B22)/supply!C22</f>
        <v>322.11520302171857</v>
      </c>
      <c r="H23" s="175" t="str">
        <f>supply!A75</f>
        <v>Leros</v>
      </c>
      <c r="I23" s="178">
        <f>supply!G75/supply!B75</f>
        <v>0.26065866734745979</v>
      </c>
      <c r="J23" s="178">
        <f>supply!H75/supply!B75</f>
        <v>0.29678325248914988</v>
      </c>
      <c r="K23" s="178">
        <f>supply!G75/supply!C75</f>
        <v>38.564683663833804</v>
      </c>
      <c r="L23" s="178">
        <f>supply!J75/supply!B75</f>
        <v>1.1510084248149093</v>
      </c>
      <c r="M23" s="178">
        <f>supply!J75/supply!C75</f>
        <v>170.29272898961284</v>
      </c>
      <c r="N23" s="178">
        <f>(supply!J75+supply!B75)/supply!C75</f>
        <v>318.2436260623229</v>
      </c>
    </row>
    <row r="24" spans="1:14">
      <c r="A24" s="175" t="str">
        <f xml:space="preserve"> supply!A23</f>
        <v>Megisti</v>
      </c>
      <c r="B24" s="176">
        <f>supply!G23/supply!B23</f>
        <v>0.58943089430894313</v>
      </c>
      <c r="C24" s="176">
        <f>supply!I23/supply!B23</f>
        <v>1.8292682926829269</v>
      </c>
      <c r="D24" s="176">
        <f>supply!G23/supply!C23</f>
        <v>31.763417305585978</v>
      </c>
      <c r="E24" s="176">
        <f>supply!J23/supply!B23</f>
        <v>2.4186991869918697</v>
      </c>
      <c r="F24" s="176">
        <f>supply!J23/supply!C23</f>
        <v>130.33953997809419</v>
      </c>
      <c r="G24" s="177">
        <f>(supply!J23+supply!B23)/supply!C23</f>
        <v>184.22782037239867</v>
      </c>
      <c r="H24" s="175" t="str">
        <f>supply!A76</f>
        <v>Megisti</v>
      </c>
      <c r="I24" s="178">
        <f>supply!G76/supply!B76</f>
        <v>0.70217391304347831</v>
      </c>
      <c r="J24" s="178">
        <f>supply!H76/supply!B76</f>
        <v>0.65217391304347827</v>
      </c>
      <c r="K24" s="178">
        <f>supply!G76/supply!C76</f>
        <v>35.377875136911278</v>
      </c>
      <c r="L24" s="178">
        <f>supply!J76/supply!B76</f>
        <v>2.6586956521739129</v>
      </c>
      <c r="M24" s="178">
        <f>supply!J76/supply!C76</f>
        <v>133.95399780941949</v>
      </c>
      <c r="N24" s="178">
        <f>(supply!J76+supply!B76)/supply!C76</f>
        <v>184.33734939759034</v>
      </c>
    </row>
    <row r="25" spans="1:14">
      <c r="A25" s="175" t="str">
        <f xml:space="preserve"> supply!A24</f>
        <v>Nisyros</v>
      </c>
      <c r="B25" s="176">
        <f>supply!G24/supply!B24</f>
        <v>0.43253968253968256</v>
      </c>
      <c r="C25" s="176">
        <f>supply!I24/supply!B24</f>
        <v>4.5535714285714288</v>
      </c>
      <c r="D25" s="176">
        <f>supply!G24/supply!C24</f>
        <v>10.531400966183575</v>
      </c>
      <c r="E25" s="176">
        <f>supply!J24/supply!B24</f>
        <v>4.9861111111111107</v>
      </c>
      <c r="F25" s="176">
        <f>supply!J24/supply!C24</f>
        <v>121.40096618357488</v>
      </c>
      <c r="G25" s="177">
        <f>(supply!J24+supply!B24)/supply!C24</f>
        <v>145.7487922705314</v>
      </c>
      <c r="H25" s="175" t="str">
        <f>supply!A77</f>
        <v>Nisyros</v>
      </c>
      <c r="I25" s="178">
        <f>supply!G77/supply!B77</f>
        <v>0.36592741935483869</v>
      </c>
      <c r="J25" s="178">
        <f>supply!H77/supply!B77</f>
        <v>1.5423387096774193</v>
      </c>
      <c r="K25" s="178">
        <f>supply!G77/supply!C77</f>
        <v>8.7681159420289863</v>
      </c>
      <c r="L25" s="178">
        <f>supply!J77/supply!B77</f>
        <v>4.992943548387097</v>
      </c>
      <c r="M25" s="178">
        <f>supply!J77/supply!C77</f>
        <v>119.6376811594203</v>
      </c>
      <c r="N25" s="178">
        <f>(supply!J77+supply!B77)/supply!C77</f>
        <v>143.59903381642513</v>
      </c>
    </row>
    <row r="26" spans="1:14">
      <c r="A26" s="175" t="str">
        <f xml:space="preserve"> supply!A25</f>
        <v>Patmos</v>
      </c>
      <c r="B26" s="176">
        <f>supply!G25/supply!B25</f>
        <v>0.96422710863144079</v>
      </c>
      <c r="C26" s="176">
        <f>supply!I25/supply!B25</f>
        <v>0.64785034460124713</v>
      </c>
      <c r="D26" s="176">
        <f>supply!G25/supply!C25</f>
        <v>86.284875183553609</v>
      </c>
      <c r="E26" s="176">
        <f>supply!J25/supply!B25</f>
        <v>1.6120774532326878</v>
      </c>
      <c r="F26" s="176">
        <f>supply!J25/supply!C25</f>
        <v>144.25844346549192</v>
      </c>
      <c r="G26" s="177">
        <f>(supply!J25+supply!B25)/supply!C25</f>
        <v>233.7444933920705</v>
      </c>
      <c r="H26" s="175" t="str">
        <f>supply!A78</f>
        <v>Patmos</v>
      </c>
      <c r="I26" s="178">
        <f>supply!G78/supply!B78</f>
        <v>1.1881321645313554</v>
      </c>
      <c r="J26" s="178">
        <f>supply!H78/supply!B78</f>
        <v>0.22184760620364127</v>
      </c>
      <c r="K26" s="178">
        <f>supply!G78/supply!C78</f>
        <v>103.4948604992658</v>
      </c>
      <c r="L26" s="178">
        <f>supply!J78/supply!B78</f>
        <v>1.8536749831422792</v>
      </c>
      <c r="M26" s="178">
        <f>supply!J78/supply!C78</f>
        <v>161.46842878120412</v>
      </c>
      <c r="N26" s="178">
        <f>(supply!J78+supply!B78)/supply!C78</f>
        <v>248.57562408223203</v>
      </c>
    </row>
    <row r="27" spans="1:14">
      <c r="A27" s="175" t="str">
        <f xml:space="preserve"> supply!A26</f>
        <v>Rodos</v>
      </c>
      <c r="B27" s="176">
        <f>supply!G26/supply!B26</f>
        <v>0.8651311801887609</v>
      </c>
      <c r="C27" s="176">
        <f>supply!I26/supply!B26</f>
        <v>0.57049095159754093</v>
      </c>
      <c r="D27" s="176">
        <f>supply!G26/supply!C26</f>
        <v>71.465152208743419</v>
      </c>
      <c r="E27" s="176">
        <f>supply!J26/supply!B26</f>
        <v>1.4356221317863018</v>
      </c>
      <c r="F27" s="176">
        <f>supply!J26/supply!C26</f>
        <v>118.59121080338751</v>
      </c>
      <c r="G27" s="177">
        <f>(supply!J26+supply!B26)/supply!C26</f>
        <v>201.1973563744564</v>
      </c>
      <c r="H27" s="175" t="str">
        <f>supply!A79</f>
        <v>Rodos</v>
      </c>
      <c r="I27" s="178">
        <f>supply!G79/supply!B79</f>
        <v>1.0631312665029451</v>
      </c>
      <c r="J27" s="178">
        <f>supply!H79/supply!B79</f>
        <v>0.20276233912513617</v>
      </c>
      <c r="K27" s="178">
        <f>supply!G79/supply!C79</f>
        <v>82.364385442893109</v>
      </c>
      <c r="L27" s="178">
        <f>supply!J79/supply!B79</f>
        <v>1.6714182838783538</v>
      </c>
      <c r="M27" s="178">
        <f>supply!J79/supply!C79</f>
        <v>129.4904440375372</v>
      </c>
      <c r="N27" s="178">
        <f>(supply!J79+supply!B79)/supply!C79</f>
        <v>206.96383611810484</v>
      </c>
    </row>
    <row r="28" spans="1:14">
      <c r="A28" s="175" t="str">
        <f xml:space="preserve"> supply!A27</f>
        <v>Symi</v>
      </c>
      <c r="B28" s="176">
        <f>supply!G27/supply!B27</f>
        <v>0.40463320463320462</v>
      </c>
      <c r="C28" s="176">
        <f>supply!I27/supply!B27</f>
        <v>1.3471042471042471</v>
      </c>
      <c r="D28" s="176">
        <f>supply!G27/supply!C27</f>
        <v>18.037865748709123</v>
      </c>
      <c r="E28" s="176">
        <f>supply!J27/supply!B27</f>
        <v>1.7517374517374518</v>
      </c>
      <c r="F28" s="176">
        <f>supply!J27/supply!C27</f>
        <v>78.08950086058519</v>
      </c>
      <c r="G28" s="177">
        <f>(supply!J27+supply!B27)/supply!C27</f>
        <v>122.66781411359725</v>
      </c>
      <c r="H28" s="175" t="str">
        <f>supply!A80</f>
        <v>Symi</v>
      </c>
      <c r="I28" s="178">
        <f>supply!G80/supply!B80</f>
        <v>0.47436908517350157</v>
      </c>
      <c r="J28" s="178">
        <f>supply!H80/supply!B80</f>
        <v>0.45859621451104099</v>
      </c>
      <c r="K28" s="178">
        <f>supply!G80/supply!C80</f>
        <v>20.705679862306368</v>
      </c>
      <c r="L28" s="178">
        <f>supply!J80/supply!B80</f>
        <v>1.8501577287066246</v>
      </c>
      <c r="M28" s="178">
        <f>supply!J80/supply!C80</f>
        <v>80.757314974182435</v>
      </c>
      <c r="N28" s="178">
        <f>(supply!J80+supply!B80)/supply!C80</f>
        <v>124.40619621342513</v>
      </c>
    </row>
    <row r="29" spans="1:14">
      <c r="A29" s="175" t="str">
        <f xml:space="preserve"> supply!A28</f>
        <v>Tilos</v>
      </c>
      <c r="B29" s="176">
        <f>supply!G28/supply!B28</f>
        <v>1.1525641025641025</v>
      </c>
      <c r="C29" s="176">
        <f>supply!I28/supply!B28</f>
        <v>3.1615384615384614</v>
      </c>
      <c r="D29" s="176">
        <f>supply!G28/supply!C28</f>
        <v>14.308451376730861</v>
      </c>
      <c r="E29" s="176">
        <f>supply!J28/supply!B28</f>
        <v>4.3141025641025639</v>
      </c>
      <c r="F29" s="176">
        <f>supply!J28/supply!C28</f>
        <v>53.55721788954321</v>
      </c>
      <c r="G29" s="177">
        <f>(supply!J28+supply!B28)/supply!C28</f>
        <v>65.971669584593343</v>
      </c>
      <c r="H29" s="175" t="str">
        <f>supply!A81</f>
        <v>Tilos</v>
      </c>
      <c r="I29" s="178">
        <f>supply!G81/supply!B81</f>
        <v>1.2858990944372575</v>
      </c>
      <c r="J29" s="178">
        <f>supply!H81/supply!B81</f>
        <v>1.0633893919793014</v>
      </c>
      <c r="K29" s="178">
        <f>supply!G81/supply!C81</f>
        <v>15.820467929333121</v>
      </c>
      <c r="L29" s="178">
        <f>supply!J81/supply!B81</f>
        <v>4.4760672703751618</v>
      </c>
      <c r="M29" s="178">
        <f>supply!J81/supply!C81</f>
        <v>55.069234442145472</v>
      </c>
      <c r="N29" s="178">
        <f>(supply!J81+supply!B81)/supply!C81</f>
        <v>67.37227439121439</v>
      </c>
    </row>
    <row r="30" spans="1:14">
      <c r="A30" s="175" t="str">
        <f xml:space="preserve"> supply!A29</f>
        <v>Chalki</v>
      </c>
      <c r="B30" s="176">
        <f>supply!G29/supply!B29</f>
        <v>0.57112970711297073</v>
      </c>
      <c r="C30" s="176">
        <f>supply!I29/supply!B29</f>
        <v>3.1192468619246863</v>
      </c>
      <c r="D30" s="176">
        <f>supply!G29/supply!C29</f>
        <v>9.7049413437611101</v>
      </c>
      <c r="E30" s="176">
        <f>supply!J29/supply!B29</f>
        <v>3.6903765690376571</v>
      </c>
      <c r="F30" s="176">
        <f>supply!J29/supply!C29</f>
        <v>62.708851759687171</v>
      </c>
      <c r="G30" s="177">
        <f>(supply!J29+supply!B29)/supply!C29</f>
        <v>79.701386420191966</v>
      </c>
      <c r="H30" s="175" t="str">
        <f>supply!A82</f>
        <v>Chalki</v>
      </c>
      <c r="I30" s="178">
        <f>supply!G82/supply!B82</f>
        <v>0.92592592592592593</v>
      </c>
      <c r="J30" s="178">
        <f>supply!H82/supply!B82</f>
        <v>1.0827886710239651</v>
      </c>
      <c r="K30" s="178">
        <f>supply!G82/supply!C82</f>
        <v>15.10842516885887</v>
      </c>
      <c r="L30" s="178">
        <f>supply!J82/supply!B82</f>
        <v>4.174291938997821</v>
      </c>
      <c r="M30" s="178">
        <f>supply!J82/supply!C82</f>
        <v>68.11233558478493</v>
      </c>
      <c r="N30" s="178">
        <f>(supply!J82+supply!B82)/supply!C82</f>
        <v>84.429434767152514</v>
      </c>
    </row>
    <row r="31" spans="1:14">
      <c r="A31" s="175" t="str">
        <f xml:space="preserve"> supply!A30</f>
        <v>Amorgos</v>
      </c>
      <c r="B31" s="176">
        <f>supply!G30/supply!B30</f>
        <v>1.491637100861632</v>
      </c>
      <c r="C31" s="176">
        <f>supply!I30/supply!B30</f>
        <v>1.6680182463253928</v>
      </c>
      <c r="D31" s="176">
        <f>supply!G30/supply!C30</f>
        <v>24.388829037871883</v>
      </c>
      <c r="E31" s="176">
        <f>supply!J30/supply!B30</f>
        <v>3.1596553471870248</v>
      </c>
      <c r="F31" s="176">
        <f>supply!J30/supply!C30</f>
        <v>51.661556310599153</v>
      </c>
      <c r="G31" s="177">
        <f>(supply!J30+supply!B30)/supply!C30</f>
        <v>68.011933372006297</v>
      </c>
      <c r="H31" s="175" t="str">
        <f>supply!A83</f>
        <v>Amorgos</v>
      </c>
      <c r="I31" s="178">
        <f>supply!G83/supply!B83</f>
        <v>1.5350383631713556</v>
      </c>
      <c r="J31" s="178">
        <f>supply!H83/supply!B83</f>
        <v>0.56112531969309465</v>
      </c>
      <c r="K31" s="178">
        <f>supply!G83/supply!C83</f>
        <v>24.869478743681114</v>
      </c>
      <c r="L31" s="178">
        <f>supply!J83/supply!B83</f>
        <v>3.2184143222506392</v>
      </c>
      <c r="M31" s="178">
        <f>supply!J83/supply!C83</f>
        <v>52.142206016408387</v>
      </c>
      <c r="N31" s="178">
        <f>(supply!J83+supply!B83)/supply!C83</f>
        <v>68.3434159277368</v>
      </c>
    </row>
    <row r="32" spans="1:14">
      <c r="A32" s="175" t="str">
        <f xml:space="preserve"> supply!A31</f>
        <v>Anafi</v>
      </c>
      <c r="B32" s="176">
        <f>supply!G31/supply!B31</f>
        <v>0.68265682656826565</v>
      </c>
      <c r="C32" s="176">
        <f>supply!I31/supply!B31</f>
        <v>3.7084870848708489</v>
      </c>
      <c r="D32" s="176">
        <f>supply!G31/supply!C31</f>
        <v>4.8239895697522819</v>
      </c>
      <c r="E32" s="176">
        <f>supply!J31/supply!B31</f>
        <v>4.391143911439114</v>
      </c>
      <c r="F32" s="176">
        <f>supply!J31/supply!C31</f>
        <v>31.02998696219035</v>
      </c>
      <c r="G32" s="177">
        <f>(supply!J31+supply!B31)/supply!C31</f>
        <v>38.096479791395048</v>
      </c>
      <c r="H32" s="175" t="str">
        <f>supply!A84</f>
        <v>Anafi</v>
      </c>
      <c r="I32" s="178">
        <f>supply!G84/supply!B84</f>
        <v>0.87931034482758619</v>
      </c>
      <c r="J32" s="178">
        <f>supply!H84/supply!B84</f>
        <v>1.1551724137931034</v>
      </c>
      <c r="K32" s="178">
        <f>supply!G84/supply!C84</f>
        <v>6.6492829204693606</v>
      </c>
      <c r="L32" s="178">
        <f>supply!J84/supply!B84</f>
        <v>4.3448275862068968</v>
      </c>
      <c r="M32" s="178">
        <f>supply!J84/supply!C84</f>
        <v>32.855280312907432</v>
      </c>
      <c r="N32" s="178">
        <f>(supply!J84+supply!B84)/supply!C84</f>
        <v>40.41720990873533</v>
      </c>
    </row>
    <row r="33" spans="1:14">
      <c r="A33" s="175" t="str">
        <f xml:space="preserve"> supply!A32</f>
        <v>Andros</v>
      </c>
      <c r="B33" s="176">
        <f>supply!G32/supply!B32</f>
        <v>0.33347793081010735</v>
      </c>
      <c r="C33" s="176">
        <f>supply!I32/supply!B32</f>
        <v>1.7799587897191194</v>
      </c>
      <c r="D33" s="176">
        <f>supply!G32/supply!C32</f>
        <v>8.0991387257355072</v>
      </c>
      <c r="E33" s="176">
        <f>supply!J32/supply!B32</f>
        <v>2.1134367205292266</v>
      </c>
      <c r="F33" s="176">
        <f>supply!J32/supply!C32</f>
        <v>51.328785524271076</v>
      </c>
      <c r="G33" s="177">
        <f>(supply!J32+supply!B32)/supply!C32</f>
        <v>75.615666236468513</v>
      </c>
      <c r="H33" s="175" t="str">
        <f>supply!A85</f>
        <v>Andros</v>
      </c>
      <c r="I33" s="178">
        <f>supply!G85/supply!B85</f>
        <v>0.61302184728531262</v>
      </c>
      <c r="J33" s="178">
        <f>supply!H85/supply!B85</f>
        <v>0.59171533636166995</v>
      </c>
      <c r="K33" s="178">
        <f>supply!G85/supply!C85</f>
        <v>14.928753917876049</v>
      </c>
      <c r="L33" s="178">
        <f>supply!J85/supply!B85</f>
        <v>2.3881678563703224</v>
      </c>
      <c r="M33" s="178">
        <f>supply!J85/supply!C85</f>
        <v>58.15840071641162</v>
      </c>
      <c r="N33" s="178">
        <f>(supply!J85+supply!B85)/supply!C85</f>
        <v>82.511128084915839</v>
      </c>
    </row>
    <row r="34" spans="1:14">
      <c r="A34" s="175" t="str">
        <f xml:space="preserve"> supply!A33</f>
        <v>Antiparos</v>
      </c>
      <c r="B34" s="176">
        <f>supply!G33/supply!B33</f>
        <v>1.7241948802642444</v>
      </c>
      <c r="C34" s="176">
        <f>supply!I33/supply!B33</f>
        <v>2.9529314616019819</v>
      </c>
      <c r="D34" s="176">
        <f>supply!G33/supply!C33</f>
        <v>59.948320413436697</v>
      </c>
      <c r="E34" s="176">
        <f>supply!J33/supply!B33</f>
        <v>4.6771263418662263</v>
      </c>
      <c r="F34" s="176">
        <f>supply!J33/supply!C33</f>
        <v>162.61843238587426</v>
      </c>
      <c r="G34" s="177">
        <f>(supply!J33+supply!B33)/supply!C33</f>
        <v>197.38730979041057</v>
      </c>
      <c r="H34" s="175" t="str">
        <f>supply!A86</f>
        <v>Antiparos</v>
      </c>
      <c r="I34" s="178">
        <f>supply!G86/supply!B86</f>
        <v>2.5595446584938704</v>
      </c>
      <c r="J34" s="178">
        <f>supply!H86/supply!B86</f>
        <v>1.0437828371278459</v>
      </c>
      <c r="K34" s="178">
        <f>supply!G86/supply!C86</f>
        <v>83.92190640252656</v>
      </c>
      <c r="L34" s="178">
        <f>supply!J86/supply!B86</f>
        <v>5.6908931698774081</v>
      </c>
      <c r="M34" s="178">
        <f>supply!J86/supply!C86</f>
        <v>186.59201837496411</v>
      </c>
      <c r="N34" s="178">
        <f>(supply!J86+supply!B86)/supply!C86</f>
        <v>219.37984496124031</v>
      </c>
    </row>
    <row r="35" spans="1:14">
      <c r="A35" s="175" t="str">
        <f xml:space="preserve"> supply!A34</f>
        <v>Donoussa</v>
      </c>
      <c r="B35" s="176">
        <f>supply!G34/supply!B34</f>
        <v>0</v>
      </c>
      <c r="C35" s="176">
        <f>supply!I34/supply!B34</f>
        <v>2.2455089820359282</v>
      </c>
      <c r="D35" s="176">
        <f>supply!G34/supply!C34</f>
        <v>0</v>
      </c>
      <c r="E35" s="176">
        <f>supply!J34/supply!B34</f>
        <v>2.2455089820359282</v>
      </c>
      <c r="F35" s="176">
        <f>supply!J34/supply!C34</f>
        <v>27.818991097922847</v>
      </c>
      <c r="G35" s="177">
        <f>(supply!J34+supply!B34)/supply!C34</f>
        <v>40.207715133531153</v>
      </c>
      <c r="H35" s="175" t="str">
        <f>supply!A87</f>
        <v>Donoussa</v>
      </c>
      <c r="I35" s="178">
        <f>supply!G87/supply!B87</f>
        <v>1.5</v>
      </c>
      <c r="J35" s="178">
        <f>supply!H87/supply!B87</f>
        <v>0.74404761904761907</v>
      </c>
      <c r="K35" s="178">
        <f>supply!G87/supply!C87</f>
        <v>18.694362017804153</v>
      </c>
      <c r="L35" s="178">
        <f>supply!J87/supply!B87</f>
        <v>3.7321428571428572</v>
      </c>
      <c r="M35" s="178">
        <f>supply!J87/supply!C87</f>
        <v>46.513353115727</v>
      </c>
      <c r="N35" s="178">
        <f>(supply!J87+supply!B87)/supply!C87</f>
        <v>58.976261127596437</v>
      </c>
    </row>
    <row r="36" spans="1:14">
      <c r="A36" s="175" t="str">
        <f xml:space="preserve"> supply!A35</f>
        <v>Iraklia</v>
      </c>
      <c r="B36" s="176">
        <f>supply!G35/supply!B35</f>
        <v>0</v>
      </c>
      <c r="C36" s="176">
        <f>supply!I35/supply!B35</f>
        <v>2.6595744680851063</v>
      </c>
      <c r="D36" s="176">
        <f>supply!G35/supply!C35</f>
        <v>0</v>
      </c>
      <c r="E36" s="176">
        <f>supply!J35/supply!B35</f>
        <v>2.6595744680851063</v>
      </c>
      <c r="F36" s="176">
        <f>supply!J35/supply!C35</f>
        <v>21.30681818181818</v>
      </c>
      <c r="G36" s="177">
        <f>(supply!J35+supply!B35)/supply!C35</f>
        <v>29.318181818181817</v>
      </c>
      <c r="H36" s="175" t="str">
        <f>supply!A88</f>
        <v>Iraklia</v>
      </c>
      <c r="I36" s="178">
        <f>supply!G88/supply!B88</f>
        <v>2.5933333333333333</v>
      </c>
      <c r="J36" s="178">
        <f>supply!H88/supply!B88</f>
        <v>0.83333333333333337</v>
      </c>
      <c r="K36" s="178">
        <f>supply!G88/supply!C88</f>
        <v>22.102272727272727</v>
      </c>
      <c r="L36" s="178">
        <f>supply!J88/supply!B88</f>
        <v>5.0933333333333337</v>
      </c>
      <c r="M36" s="178">
        <f>supply!J88/supply!C88</f>
        <v>43.409090909090907</v>
      </c>
      <c r="N36" s="178">
        <f>(supply!J88+supply!B88)/supply!C88</f>
        <v>51.93181818181818</v>
      </c>
    </row>
    <row r="37" spans="1:14">
      <c r="A37" s="175" t="str">
        <f xml:space="preserve"> supply!A36</f>
        <v>Thira</v>
      </c>
      <c r="B37" s="176">
        <f>supply!G36/supply!B36</f>
        <v>1.7762458144573567</v>
      </c>
      <c r="C37" s="176">
        <f>supply!I36/supply!B36</f>
        <v>1.5469765609611976</v>
      </c>
      <c r="D37" s="176">
        <f>supply!G36/supply!C36</f>
        <v>356.96002111096448</v>
      </c>
      <c r="E37" s="176">
        <f>supply!J36/supply!B36</f>
        <v>3.3232223754185544</v>
      </c>
      <c r="F37" s="176">
        <f>supply!J36/supply!C36</f>
        <v>667.84536218498477</v>
      </c>
      <c r="G37" s="177">
        <f>(supply!J36+supply!B36)/supply!C36</f>
        <v>868.80854994062531</v>
      </c>
      <c r="H37" s="175" t="str">
        <f>supply!A89</f>
        <v>Thira</v>
      </c>
      <c r="I37" s="178">
        <f>supply!G89/supply!B89</f>
        <v>2.9570650199782058</v>
      </c>
      <c r="J37" s="178">
        <f>supply!H89/supply!B89</f>
        <v>0.57057755176171454</v>
      </c>
      <c r="K37" s="178">
        <f>supply!G89/supply!C89</f>
        <v>537.06293706293707</v>
      </c>
      <c r="L37" s="178">
        <f>supply!J89/supply!B89</f>
        <v>4.6687976752633489</v>
      </c>
      <c r="M37" s="178">
        <f>supply!J89/supply!C89</f>
        <v>847.94827813695736</v>
      </c>
      <c r="N37" s="178">
        <f>(supply!J89+supply!B89)/supply!C89</f>
        <v>1029.5685446628843</v>
      </c>
    </row>
    <row r="38" spans="1:14">
      <c r="A38" s="175" t="str">
        <f xml:space="preserve"> supply!A37</f>
        <v>Thirasia</v>
      </c>
      <c r="B38" s="176">
        <f>supply!G37/supply!B37</f>
        <v>1.8808777429467086E-2</v>
      </c>
      <c r="C38" s="176">
        <f>supply!I37/supply!B37</f>
        <v>2.5485893416927898</v>
      </c>
      <c r="D38" s="176">
        <f>supply!G37/supply!C37</f>
        <v>0.64516129032258063</v>
      </c>
      <c r="E38" s="176">
        <f>supply!J37/supply!B37</f>
        <v>2.5673981191222572</v>
      </c>
      <c r="F38" s="176">
        <f>supply!J37/supply!C37</f>
        <v>88.064516129032256</v>
      </c>
      <c r="G38" s="177">
        <f>(supply!J37+supply!B37)/supply!C37</f>
        <v>122.36559139784946</v>
      </c>
      <c r="H38" s="175" t="str">
        <f>supply!A90</f>
        <v>Thirasia</v>
      </c>
      <c r="I38" s="178">
        <f>supply!G90/supply!B90</f>
        <v>0</v>
      </c>
      <c r="J38" s="178">
        <f>supply!H90/supply!B90</f>
        <v>0.84952978056426331</v>
      </c>
      <c r="K38" s="178">
        <f>supply!G90/supply!C90</f>
        <v>0</v>
      </c>
      <c r="L38" s="178">
        <f>supply!J90/supply!B90</f>
        <v>2.5485893416927898</v>
      </c>
      <c r="M38" s="178">
        <f>supply!J90/supply!C90</f>
        <v>87.419354838709666</v>
      </c>
      <c r="N38" s="178">
        <f>(supply!J90+supply!B90)/supply!C90</f>
        <v>121.72043010752687</v>
      </c>
    </row>
    <row r="39" spans="1:14">
      <c r="A39" s="175" t="str">
        <f xml:space="preserve"> supply!A38</f>
        <v>Ios</v>
      </c>
      <c r="B39" s="176">
        <f>supply!G38/supply!B38</f>
        <v>2.5429841897233203</v>
      </c>
      <c r="C39" s="176">
        <f>supply!I38/supply!B38</f>
        <v>1.3725296442687747</v>
      </c>
      <c r="D39" s="176">
        <f>supply!G38/supply!C38</f>
        <v>47.745825602968459</v>
      </c>
      <c r="E39" s="176">
        <f>supply!J38/supply!B38</f>
        <v>3.9155138339920947</v>
      </c>
      <c r="F39" s="176">
        <f>supply!J38/supply!C38</f>
        <v>73.515769944341372</v>
      </c>
      <c r="G39" s="177">
        <f>(supply!J38+supply!B38)/supply!C38</f>
        <v>92.291280148423013</v>
      </c>
      <c r="H39" s="175" t="str">
        <f>supply!A91</f>
        <v>Ios</v>
      </c>
      <c r="I39" s="178">
        <f>supply!G91/supply!B91</f>
        <v>2.8074756784434203</v>
      </c>
      <c r="J39" s="178">
        <f>supply!H91/supply!B91</f>
        <v>0.47414234511008707</v>
      </c>
      <c r="K39" s="178">
        <f>supply!G91/supply!C91</f>
        <v>50.862708719851575</v>
      </c>
      <c r="L39" s="178">
        <f>supply!J91/supply!B91</f>
        <v>4.2299027137736811</v>
      </c>
      <c r="M39" s="178">
        <f>supply!J91/supply!C91</f>
        <v>76.632653061224488</v>
      </c>
      <c r="N39" s="178">
        <f>(supply!J91+supply!B91)/supply!C91</f>
        <v>94.749536178107604</v>
      </c>
    </row>
    <row r="40" spans="1:14">
      <c r="A40" s="175" t="str">
        <f xml:space="preserve"> supply!A39</f>
        <v>Kea</v>
      </c>
      <c r="B40" s="176">
        <f>supply!G39/supply!B39</f>
        <v>0.4325865580448065</v>
      </c>
      <c r="C40" s="176">
        <f>supply!I39/supply!B39</f>
        <v>3.3519348268839102</v>
      </c>
      <c r="D40" s="176">
        <f>supply!G39/supply!C39</f>
        <v>10.252944583896506</v>
      </c>
      <c r="E40" s="176">
        <f>supply!J39/supply!B39</f>
        <v>3.7845213849287167</v>
      </c>
      <c r="F40" s="176">
        <f>supply!J39/supply!C39</f>
        <v>89.698783548947674</v>
      </c>
      <c r="G40" s="177">
        <f>(supply!J39+supply!B39)/supply!C39</f>
        <v>113.40027032245608</v>
      </c>
      <c r="H40" s="175" t="str">
        <f>supply!A92</f>
        <v>Kea</v>
      </c>
      <c r="I40" s="178">
        <f>supply!G92/supply!B92</f>
        <v>1.2520255863539445</v>
      </c>
      <c r="J40" s="178">
        <f>supply!H92/supply!B92</f>
        <v>1.169722814498934</v>
      </c>
      <c r="K40" s="178">
        <f>supply!G92/supply!C92</f>
        <v>28.345240393898436</v>
      </c>
      <c r="L40" s="178">
        <f>supply!J92/supply!B92</f>
        <v>4.7611940298507465</v>
      </c>
      <c r="M40" s="178">
        <f>supply!J92/supply!C92</f>
        <v>107.7910793589496</v>
      </c>
      <c r="N40" s="178">
        <f>(supply!J92+supply!B92)/supply!C92</f>
        <v>130.43058505502992</v>
      </c>
    </row>
    <row r="41" spans="1:14">
      <c r="A41" s="175" t="str">
        <f xml:space="preserve"> supply!A40</f>
        <v>Kimolos</v>
      </c>
      <c r="B41" s="176">
        <f>supply!G40/supply!B40</f>
        <v>0.15384615384615385</v>
      </c>
      <c r="C41" s="176">
        <f>supply!I40/supply!B40</f>
        <v>2.8945054945054944</v>
      </c>
      <c r="D41" s="176">
        <f>supply!G40/supply!C40</f>
        <v>3.9204704564547743</v>
      </c>
      <c r="E41" s="176">
        <f>supply!J40/supply!B40</f>
        <v>3.0483516483516482</v>
      </c>
      <c r="F41" s="176">
        <f>supply!J40/supply!C40</f>
        <v>77.681321758611034</v>
      </c>
      <c r="G41" s="177">
        <f>(supply!J40+supply!B40)/supply!C40</f>
        <v>103.16437972556706</v>
      </c>
      <c r="H41" s="175" t="str">
        <f>supply!A93</f>
        <v>Kimolos</v>
      </c>
      <c r="I41" s="178">
        <f>supply!G93/supply!B93</f>
        <v>0.40061791967044286</v>
      </c>
      <c r="J41" s="178">
        <f>supply!H93/supply!B93</f>
        <v>0.90422245108135946</v>
      </c>
      <c r="K41" s="178">
        <f>supply!G93/supply!C93</f>
        <v>10.893307196863624</v>
      </c>
      <c r="L41" s="178">
        <f>supply!J93/supply!B93</f>
        <v>3.1132852729145211</v>
      </c>
      <c r="M41" s="178">
        <f>supply!J93/supply!C93</f>
        <v>84.654158499019886</v>
      </c>
      <c r="N41" s="178">
        <f>(supply!J93+supply!B93)/supply!C93</f>
        <v>111.84542145057407</v>
      </c>
    </row>
    <row r="42" spans="1:14">
      <c r="A42" s="175" t="str">
        <f xml:space="preserve"> supply!A41</f>
        <v>Koufonissi</v>
      </c>
      <c r="B42" s="176">
        <f>supply!G41/supply!B41</f>
        <v>0.85964912280701755</v>
      </c>
      <c r="C42" s="176">
        <f>supply!I41/supply!B41</f>
        <v>1.0601503759398496</v>
      </c>
      <c r="D42" s="176">
        <f>supply!G41/supply!C41</f>
        <v>60.175438596491226</v>
      </c>
      <c r="E42" s="176">
        <f>supply!J41/supply!B41</f>
        <v>1.9197994987468672</v>
      </c>
      <c r="F42" s="176">
        <f>supply!J41/supply!C41</f>
        <v>134.38596491228068</v>
      </c>
      <c r="G42" s="177">
        <f>(supply!J41+supply!B41)/supply!C41</f>
        <v>204.38596491228068</v>
      </c>
      <c r="H42" s="175" t="str">
        <f>supply!A94</f>
        <v>Koufonissi</v>
      </c>
      <c r="I42" s="178">
        <f>supply!G94/supply!B94</f>
        <v>3.5527638190954773</v>
      </c>
      <c r="J42" s="178">
        <f>supply!H94/supply!B94</f>
        <v>0.35427135678391958</v>
      </c>
      <c r="K42" s="178">
        <f>supply!G94/supply!C94</f>
        <v>248.07017543859649</v>
      </c>
      <c r="L42" s="178">
        <f>supply!J94/supply!B94</f>
        <v>4.6155778894472359</v>
      </c>
      <c r="M42" s="178">
        <f>supply!J94/supply!C94</f>
        <v>322.28070175438597</v>
      </c>
      <c r="N42" s="178">
        <f>(supply!J94+supply!B94)/supply!C94</f>
        <v>392.10526315789474</v>
      </c>
    </row>
    <row r="43" spans="1:14">
      <c r="A43" s="175" t="str">
        <f xml:space="preserve"> supply!A42</f>
        <v>Kythnos</v>
      </c>
      <c r="B43" s="176">
        <f>supply!G42/supply!B42</f>
        <v>0.8214285714285714</v>
      </c>
      <c r="C43" s="176">
        <f>supply!I42/supply!B42</f>
        <v>4.2795329670329672</v>
      </c>
      <c r="D43" s="176">
        <f>supply!G42/supply!C42</f>
        <v>12.049163812210356</v>
      </c>
      <c r="E43" s="176">
        <f>supply!J42/supply!B42</f>
        <v>5.1009615384615383</v>
      </c>
      <c r="F43" s="176">
        <f>supply!J42/supply!C42</f>
        <v>74.823695345557113</v>
      </c>
      <c r="G43" s="177">
        <f>(supply!J42+supply!B42)/supply!C42</f>
        <v>89.492242595204502</v>
      </c>
      <c r="H43" s="175" t="str">
        <f>supply!A95</f>
        <v>Kythnos</v>
      </c>
      <c r="I43" s="178">
        <f>supply!G95/supply!B95</f>
        <v>1.2859087814840027</v>
      </c>
      <c r="J43" s="178">
        <f>supply!H95/supply!B95</f>
        <v>1.4138869979577944</v>
      </c>
      <c r="K43" s="178">
        <f>supply!G95/supply!C95</f>
        <v>19.030828128148297</v>
      </c>
      <c r="L43" s="178">
        <f>supply!J95/supply!B95</f>
        <v>5.527569775357386</v>
      </c>
      <c r="M43" s="178">
        <f>supply!J95/supply!C95</f>
        <v>81.805359661495061</v>
      </c>
      <c r="N43" s="178">
        <f>(supply!J95+supply!B95)/supply!C95</f>
        <v>96.604876083014304</v>
      </c>
    </row>
    <row r="44" spans="1:14">
      <c r="A44" s="175" t="str">
        <f xml:space="preserve"> supply!A43</f>
        <v>Milos</v>
      </c>
      <c r="B44" s="176">
        <f>supply!G43/supply!B43</f>
        <v>0.93329314848302192</v>
      </c>
      <c r="C44" s="176">
        <f>supply!I43/supply!B43</f>
        <v>1.4858348402652199</v>
      </c>
      <c r="D44" s="176">
        <f>supply!G43/supply!C43</f>
        <v>30.843293492695885</v>
      </c>
      <c r="E44" s="176">
        <f>supply!J43/supply!B43</f>
        <v>2.419127988748242</v>
      </c>
      <c r="F44" s="176">
        <f>supply!J43/supply!C43</f>
        <v>79.946879150066408</v>
      </c>
      <c r="G44" s="177">
        <f>(supply!J43+supply!B43)/supply!C43</f>
        <v>112.99468791500665</v>
      </c>
      <c r="H44" s="175" t="str">
        <f>supply!A96</f>
        <v>Milos</v>
      </c>
      <c r="I44" s="178">
        <f>supply!G96/supply!B96</f>
        <v>1.3043478260869565</v>
      </c>
      <c r="J44" s="178">
        <f>supply!H96/supply!B96</f>
        <v>0.4916234543278819</v>
      </c>
      <c r="K44" s="178">
        <f>supply!G96/supply!C96</f>
        <v>43.426294820717132</v>
      </c>
      <c r="L44" s="178">
        <f>supply!J96/supply!B96</f>
        <v>2.7792181890706025</v>
      </c>
      <c r="M44" s="178">
        <f>supply!J96/supply!C96</f>
        <v>92.529880478087648</v>
      </c>
      <c r="N44" s="178">
        <f>(supply!J96+supply!B96)/supply!C96</f>
        <v>125.82337317397079</v>
      </c>
    </row>
    <row r="45" spans="1:14">
      <c r="A45" s="175" t="str">
        <f xml:space="preserve"> supply!A44</f>
        <v>Mykonos</v>
      </c>
      <c r="B45" s="176">
        <f>supply!G44/supply!B44</f>
        <v>1.5577264653641207</v>
      </c>
      <c r="C45" s="176">
        <f>supply!I44/supply!B44</f>
        <v>1.706631142687981</v>
      </c>
      <c r="D45" s="176">
        <f>supply!G44/supply!C44</f>
        <v>184.6747777257838</v>
      </c>
      <c r="E45" s="176">
        <f>supply!J44/supply!B44</f>
        <v>3.264357608052102</v>
      </c>
      <c r="F45" s="176">
        <f>supply!J44/supply!C44</f>
        <v>387.00280767430974</v>
      </c>
      <c r="G45" s="177">
        <f>(supply!J44+supply!B44)/supply!C44</f>
        <v>505.55685540477305</v>
      </c>
      <c r="H45" s="175" t="str">
        <f>supply!A97</f>
        <v>Mykonos</v>
      </c>
      <c r="I45" s="178">
        <f>supply!G97/supply!B97</f>
        <v>3.2905003306149436</v>
      </c>
      <c r="J45" s="178">
        <f>supply!H97/supply!B97</f>
        <v>0.63533171699360813</v>
      </c>
      <c r="K45" s="178">
        <f>supply!G97/supply!C97</f>
        <v>349.29808142255496</v>
      </c>
      <c r="L45" s="178">
        <f>supply!J97/supply!B97</f>
        <v>5.1964954815957682</v>
      </c>
      <c r="M45" s="178">
        <f>supply!J97/supply!C97</f>
        <v>551.62611137108092</v>
      </c>
      <c r="N45" s="178">
        <f>(supply!J97+supply!B97)/supply!C97</f>
        <v>657.77959756668224</v>
      </c>
    </row>
    <row r="46" spans="1:14">
      <c r="A46" s="175" t="str">
        <f xml:space="preserve"> supply!A45</f>
        <v>Naxos</v>
      </c>
      <c r="B46" s="176">
        <f>supply!G45/supply!B45</f>
        <v>0.75973229224762973</v>
      </c>
      <c r="C46" s="176">
        <f>supply!I45/supply!B45</f>
        <v>1.6798661461238149</v>
      </c>
      <c r="D46" s="176">
        <f>supply!G45/supply!C45</f>
        <v>31.817438628453974</v>
      </c>
      <c r="E46" s="176">
        <f>supply!J45/supply!B45</f>
        <v>2.4395984383714446</v>
      </c>
      <c r="F46" s="176">
        <f>supply!J45/supply!C45</f>
        <v>102.16990166538201</v>
      </c>
      <c r="G46" s="177">
        <f>(supply!J45+supply!B45)/supply!C45</f>
        <v>144.04970452899821</v>
      </c>
      <c r="H46" s="175" t="str">
        <f>supply!A98</f>
        <v>Naxos</v>
      </c>
      <c r="I46" s="178">
        <f>supply!G98/supply!B98</f>
        <v>1.0587245401265015</v>
      </c>
      <c r="J46" s="178">
        <f>supply!H98/supply!B98</f>
        <v>0.58260314512853251</v>
      </c>
      <c r="K46" s="178">
        <f>supply!G98/supply!C98</f>
        <v>42.615560694181674</v>
      </c>
      <c r="L46" s="178">
        <f>supply!J98/supply!B98</f>
        <v>2.806533975512099</v>
      </c>
      <c r="M46" s="178">
        <f>supply!J98/supply!C98</f>
        <v>112.96802373110971</v>
      </c>
      <c r="N46" s="178">
        <f>(supply!J98+supply!B98)/supply!C98</f>
        <v>153.21981641090323</v>
      </c>
    </row>
    <row r="47" spans="1:14">
      <c r="A47" s="175" t="str">
        <f xml:space="preserve"> supply!A46</f>
        <v>Paros</v>
      </c>
      <c r="B47" s="176">
        <f>supply!G46/supply!B46</f>
        <v>1.2817353262850892</v>
      </c>
      <c r="C47" s="176">
        <f>supply!I46/supply!B46</f>
        <v>1.5956981407218374</v>
      </c>
      <c r="D47" s="176">
        <f>supply!G46/supply!C46</f>
        <v>90.371170059633968</v>
      </c>
      <c r="E47" s="176">
        <f>supply!J46/supply!B46</f>
        <v>2.8774334670069268</v>
      </c>
      <c r="F47" s="176">
        <f>supply!J46/supply!C46</f>
        <v>202.87888134896153</v>
      </c>
      <c r="G47" s="177">
        <f>(supply!J46+supply!B46)/supply!C46</f>
        <v>273.38577010076085</v>
      </c>
      <c r="H47" s="175" t="str">
        <f>supply!A99</f>
        <v>Paros</v>
      </c>
      <c r="I47" s="178">
        <f>supply!G99/supply!B99</f>
        <v>1.8135118777424724</v>
      </c>
      <c r="J47" s="178">
        <f>supply!H99/supply!B99</f>
        <v>0.55189892570736876</v>
      </c>
      <c r="K47" s="178">
        <f>supply!G99/supply!C99</f>
        <v>123.23154431420933</v>
      </c>
      <c r="L47" s="178">
        <f>supply!J99/supply!B99</f>
        <v>3.4692086548645786</v>
      </c>
      <c r="M47" s="178">
        <f>supply!J99/supply!C99</f>
        <v>235.73925560353689</v>
      </c>
      <c r="N47" s="178">
        <f>(supply!J99+supply!B99)/supply!C99</f>
        <v>303.69113715813285</v>
      </c>
    </row>
    <row r="48" spans="1:14">
      <c r="A48" s="175" t="str">
        <f xml:space="preserve"> supply!A47</f>
        <v>Serifos</v>
      </c>
      <c r="B48" s="176">
        <f>supply!G47/supply!B47</f>
        <v>1.2570422535211268</v>
      </c>
      <c r="C48" s="176">
        <f>supply!I47/supply!B47</f>
        <v>4.404929577464789</v>
      </c>
      <c r="D48" s="176">
        <f>supply!G47/supply!C47</f>
        <v>24.375256042605489</v>
      </c>
      <c r="E48" s="176">
        <f>supply!J47/supply!B47</f>
        <v>5.6619718309859151</v>
      </c>
      <c r="F48" s="176">
        <f>supply!J47/supply!C47</f>
        <v>109.79106923392052</v>
      </c>
      <c r="G48" s="177">
        <f>(supply!J47+supply!B47)/supply!C47</f>
        <v>129.18202922299602</v>
      </c>
      <c r="H48" s="175" t="str">
        <f>supply!A100</f>
        <v>Serifos</v>
      </c>
      <c r="I48" s="178">
        <f>supply!G100/supply!B100</f>
        <v>1.550853242320819</v>
      </c>
      <c r="J48" s="178">
        <f>supply!H100/supply!B100</f>
        <v>1.4232081911262799</v>
      </c>
      <c r="K48" s="178">
        <f>supply!G100/supply!C100</f>
        <v>31.025535982520822</v>
      </c>
      <c r="L48" s="178">
        <f>supply!J100/supply!B100</f>
        <v>5.8204778156996584</v>
      </c>
      <c r="M48" s="178">
        <f>supply!J100/supply!C100</f>
        <v>116.44134917383586</v>
      </c>
      <c r="N48" s="178">
        <f>(supply!J100+supply!B100)/supply!C100</f>
        <v>136.44681141608629</v>
      </c>
    </row>
    <row r="49" spans="1:14">
      <c r="A49" s="175" t="str">
        <f xml:space="preserve"> supply!A48</f>
        <v>Schinoussa</v>
      </c>
      <c r="B49" s="176">
        <f>supply!G48/supply!B48</f>
        <v>0.40969162995594716</v>
      </c>
      <c r="C49" s="176">
        <f>supply!I48/supply!B48</f>
        <v>1.6916299559471366</v>
      </c>
      <c r="D49" s="176">
        <f>supply!G48/supply!C48</f>
        <v>11.953727506426734</v>
      </c>
      <c r="E49" s="176">
        <f>supply!J48/supply!B48</f>
        <v>2.1013215859030838</v>
      </c>
      <c r="F49" s="176">
        <f>supply!J48/supply!C48</f>
        <v>61.311053984575835</v>
      </c>
      <c r="G49" s="177">
        <f>(supply!J48+supply!B48)/supply!C48</f>
        <v>90.488431876606683</v>
      </c>
      <c r="H49" s="175" t="str">
        <f>supply!A101</f>
        <v>Schinoussa</v>
      </c>
      <c r="I49" s="178">
        <f>supply!G101/supply!B101</f>
        <v>1.2300884955752212</v>
      </c>
      <c r="J49" s="178">
        <f>supply!H101/supply!B101</f>
        <v>0.5663716814159292</v>
      </c>
      <c r="K49" s="178">
        <f>supply!G101/supply!C101</f>
        <v>35.732647814910024</v>
      </c>
      <c r="L49" s="178">
        <f>supply!J101/supply!B101</f>
        <v>2.9292035398230087</v>
      </c>
      <c r="M49" s="178">
        <f>supply!J101/supply!C101</f>
        <v>85.089974293059129</v>
      </c>
      <c r="N49" s="178">
        <f>(supply!J101+supply!B101)/supply!C101</f>
        <v>114.13881748071979</v>
      </c>
    </row>
    <row r="50" spans="1:14">
      <c r="A50" s="175" t="str">
        <f xml:space="preserve"> supply!A49</f>
        <v>Sikinos</v>
      </c>
      <c r="B50" s="176">
        <f>supply!G49/supply!B49</f>
        <v>0.97435897435897434</v>
      </c>
      <c r="C50" s="176">
        <f>supply!I49/supply!B49</f>
        <v>3.1758241758241756</v>
      </c>
      <c r="D50" s="176">
        <f>supply!G49/supply!C49</f>
        <v>6.4830611747501825</v>
      </c>
      <c r="E50" s="176">
        <f>supply!J49/supply!B49</f>
        <v>4.1501831501831505</v>
      </c>
      <c r="F50" s="176">
        <f>supply!J49/supply!C49</f>
        <v>27.613941018766756</v>
      </c>
      <c r="G50" s="177">
        <f>(supply!J49+supply!B49)/supply!C49</f>
        <v>34.267609066536679</v>
      </c>
      <c r="H50" s="175" t="str">
        <f>supply!A102</f>
        <v>Sikinos</v>
      </c>
      <c r="I50" s="178">
        <f>supply!G102/supply!B102</f>
        <v>1.6770833333333333</v>
      </c>
      <c r="J50" s="178">
        <f>supply!H102/supply!B102</f>
        <v>1.0034722222222223</v>
      </c>
      <c r="K50" s="178">
        <f>supply!G102/supply!C102</f>
        <v>11.771874238362173</v>
      </c>
      <c r="L50" s="178">
        <f>supply!J102/supply!B102</f>
        <v>4.6875</v>
      </c>
      <c r="M50" s="178">
        <f>supply!J102/supply!C102</f>
        <v>32.902754082378749</v>
      </c>
      <c r="N50" s="178">
        <f>(supply!J102+supply!B102)/supply!C102</f>
        <v>39.922008286619544</v>
      </c>
    </row>
    <row r="51" spans="1:14">
      <c r="A51" s="175" t="str">
        <f xml:space="preserve"> supply!A50</f>
        <v>Sifnos</v>
      </c>
      <c r="B51" s="176">
        <f>supply!G50/supply!B50</f>
        <v>1.5001904761904763</v>
      </c>
      <c r="C51" s="176">
        <f>supply!I50/supply!B50</f>
        <v>2.3211428571428572</v>
      </c>
      <c r="D51" s="176">
        <f>supply!G50/supply!C50</f>
        <v>53.812517081169716</v>
      </c>
      <c r="E51" s="176">
        <f>supply!J50/supply!B50</f>
        <v>3.8213333333333335</v>
      </c>
      <c r="F51" s="176">
        <f>supply!J50/supply!C50</f>
        <v>137.07297075703744</v>
      </c>
      <c r="G51" s="177">
        <f>(supply!J50+supply!B50)/supply!C50</f>
        <v>172.9434271658923</v>
      </c>
      <c r="H51" s="175" t="str">
        <f>supply!A103</f>
        <v>Sifnos</v>
      </c>
      <c r="I51" s="178">
        <f>supply!G103/supply!B103</f>
        <v>2.2069099378881987</v>
      </c>
      <c r="J51" s="178">
        <f>supply!H103/supply!B103</f>
        <v>0.78843167701863359</v>
      </c>
      <c r="K51" s="178">
        <f>supply!G103/supply!C103</f>
        <v>77.685159879748554</v>
      </c>
      <c r="L51" s="178">
        <f>supply!J103/supply!B103</f>
        <v>4.5722049689440993</v>
      </c>
      <c r="M51" s="178">
        <f>supply!J103/supply!C103</f>
        <v>160.94561355561626</v>
      </c>
      <c r="N51" s="178">
        <f>(supply!J103+supply!B103)/supply!C103</f>
        <v>196.14648811150585</v>
      </c>
    </row>
    <row r="52" spans="1:14">
      <c r="A52" s="175" t="str">
        <f xml:space="preserve"> supply!A51</f>
        <v>Syros</v>
      </c>
      <c r="B52" s="176">
        <f>supply!G51/supply!B51</f>
        <v>0.24206072441530666</v>
      </c>
      <c r="C52" s="176">
        <f>supply!I51/supply!B51</f>
        <v>1.0106011996094295</v>
      </c>
      <c r="D52" s="176">
        <f>supply!G51/supply!C51</f>
        <v>62.250388616525171</v>
      </c>
      <c r="E52" s="176">
        <f>supply!J51/supply!B51</f>
        <v>1.2526619240247361</v>
      </c>
      <c r="F52" s="176">
        <f>supply!J51/supply!C51</f>
        <v>322.14516321894058</v>
      </c>
      <c r="G52" s="177">
        <f>(supply!J51+supply!B51)/supply!C51</f>
        <v>579.31364342939139</v>
      </c>
      <c r="H52" s="175" t="str">
        <f>supply!A104</f>
        <v>Syros</v>
      </c>
      <c r="I52" s="178">
        <f>supply!G104/supply!B104</f>
        <v>0.38063593151506758</v>
      </c>
      <c r="J52" s="178">
        <f>supply!H104/supply!B104</f>
        <v>0.33434860861138033</v>
      </c>
      <c r="K52" s="178">
        <f>supply!G104/supply!C104</f>
        <v>98.624895372474001</v>
      </c>
      <c r="L52" s="178">
        <f>supply!J104/supply!B104</f>
        <v>1.3836817573492086</v>
      </c>
      <c r="M52" s="178">
        <f>supply!J104/supply!C104</f>
        <v>358.51966997488944</v>
      </c>
      <c r="N52" s="178">
        <f>(supply!J104+supply!B104)/supply!C104</f>
        <v>617.62525409542036</v>
      </c>
    </row>
    <row r="53" spans="1:14">
      <c r="A53" s="175" t="str">
        <f xml:space="preserve"> supply!A52</f>
        <v>Tinos</v>
      </c>
      <c r="B53" s="176">
        <f>supply!G52/supply!B52</f>
        <v>0.53114867994441872</v>
      </c>
      <c r="C53" s="176">
        <f>supply!I52/supply!B52</f>
        <v>2.3785317276516906</v>
      </c>
      <c r="D53" s="176">
        <f>supply!G52/supply!C52</f>
        <v>23.618763194480202</v>
      </c>
      <c r="E53" s="176">
        <f>supply!J52/supply!B52</f>
        <v>2.9096804075961091</v>
      </c>
      <c r="F53" s="176">
        <f>supply!J52/supply!C52</f>
        <v>129.38571649245662</v>
      </c>
      <c r="G53" s="177">
        <f>(supply!J52+supply!B52)/supply!C52</f>
        <v>173.8530456722105</v>
      </c>
      <c r="H53" s="175" t="str">
        <f>supply!A105</f>
        <v>Tinos</v>
      </c>
      <c r="I53" s="178">
        <f>supply!G105/supply!B105</f>
        <v>0.84707508060801473</v>
      </c>
      <c r="J53" s="178">
        <f>supply!H105/supply!B105</f>
        <v>0.78846153846153844</v>
      </c>
      <c r="K53" s="178">
        <f>supply!G105/supply!C105</f>
        <v>37.876525410637967</v>
      </c>
      <c r="L53" s="178">
        <f>supply!J105/supply!B105</f>
        <v>3.2124596959926301</v>
      </c>
      <c r="M53" s="178">
        <f>supply!J105/supply!C105</f>
        <v>143.64347870861437</v>
      </c>
      <c r="N53" s="178">
        <f>(supply!J105+supply!B105)/supply!C105</f>
        <v>188.35796302971011</v>
      </c>
    </row>
    <row r="54" spans="1:14">
      <c r="A54" s="175" t="str">
        <f xml:space="preserve"> supply!A53</f>
        <v>Folegandros</v>
      </c>
      <c r="B54" s="176">
        <f>supply!G53/supply!B53</f>
        <v>2.0287581699346404</v>
      </c>
      <c r="C54" s="176">
        <f>supply!I53/supply!B53</f>
        <v>1.8666666666666667</v>
      </c>
      <c r="D54" s="176">
        <f>supply!G53/supply!C53</f>
        <v>48.394137823511066</v>
      </c>
      <c r="E54" s="176">
        <f>supply!J53/supply!B53</f>
        <v>3.8954248366013071</v>
      </c>
      <c r="F54" s="176">
        <f>supply!J53/supply!C53</f>
        <v>92.921733707514804</v>
      </c>
      <c r="G54" s="177">
        <f>(supply!J53+supply!B53)/supply!C53</f>
        <v>116.77580293108824</v>
      </c>
      <c r="H54" s="175" t="str">
        <f>supply!A106</f>
        <v>Folegandros</v>
      </c>
      <c r="I54" s="178">
        <f>supply!G106/supply!B106</f>
        <v>2.3375634517766497</v>
      </c>
      <c r="J54" s="178">
        <f>supply!H106/supply!B106</f>
        <v>0.60406091370558379</v>
      </c>
      <c r="K54" s="178">
        <f>supply!G106/supply!C106</f>
        <v>57.43685687558466</v>
      </c>
      <c r="L54" s="178">
        <f>supply!J106/supply!B106</f>
        <v>4.1497461928934012</v>
      </c>
      <c r="M54" s="178">
        <f>supply!J106/supply!C106</f>
        <v>101.9644527595884</v>
      </c>
      <c r="N54" s="178">
        <f>(supply!J106+supply!B106)/supply!C106</f>
        <v>126.53570314936077</v>
      </c>
    </row>
    <row r="55" spans="1:14">
      <c r="A55" s="175"/>
      <c r="B55" s="176"/>
      <c r="C55" s="176"/>
      <c r="D55" s="176"/>
      <c r="E55" s="176"/>
      <c r="F55" s="176"/>
      <c r="G55" s="176"/>
    </row>
  </sheetData>
  <mergeCells count="2">
    <mergeCell ref="B3:G3"/>
    <mergeCell ref="H3:N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11"/>
  <sheetViews>
    <sheetView zoomScale="71" zoomScaleNormal="71" workbookViewId="0">
      <selection activeCell="E13" sqref="E13"/>
    </sheetView>
  </sheetViews>
  <sheetFormatPr defaultRowHeight="12.75"/>
  <cols>
    <col min="1" max="1" width="25.85546875" style="167" customWidth="1"/>
    <col min="2" max="2" width="11.7109375" style="179" customWidth="1"/>
    <col min="3" max="3" width="14.42578125" style="179" customWidth="1"/>
    <col min="4" max="4" width="16.140625" style="188" customWidth="1"/>
    <col min="5" max="5" width="15.140625" style="167" customWidth="1"/>
    <col min="6" max="6" width="8.7109375" style="179"/>
    <col min="7" max="7" width="10.140625" style="179" customWidth="1"/>
    <col min="8" max="8" width="9.28515625" style="188" bestFit="1" customWidth="1"/>
    <col min="9" max="10" width="10.28515625" style="167" customWidth="1"/>
    <col min="11" max="11" width="8.7109375" style="188"/>
    <col min="12" max="12" width="9.140625" style="167"/>
    <col min="13" max="13" width="11.28515625" style="167" customWidth="1"/>
    <col min="14" max="14" width="9.140625" style="167"/>
    <col min="15" max="15" width="11.28515625" style="167" customWidth="1"/>
    <col min="16" max="16" width="15.7109375" style="167" customWidth="1"/>
    <col min="17" max="17" width="18.42578125" style="167" customWidth="1"/>
    <col min="18" max="18" width="20" style="167" customWidth="1"/>
    <col min="19" max="19" width="12.42578125" style="167" customWidth="1"/>
    <col min="20" max="20" width="16.5703125" style="167" customWidth="1"/>
    <col min="21" max="21" width="18" style="167" customWidth="1"/>
    <col min="22" max="22" width="22" style="167" customWidth="1"/>
    <col min="23" max="23" width="22.7109375" style="167" customWidth="1"/>
    <col min="24" max="24" width="12" style="167" customWidth="1"/>
    <col min="25" max="25" width="16.7109375" style="167" customWidth="1"/>
    <col min="26" max="16384" width="9.140625" style="167"/>
  </cols>
  <sheetData>
    <row r="1" spans="1:25">
      <c r="A1" s="248" t="s">
        <v>188</v>
      </c>
      <c r="B1" s="230"/>
      <c r="C1" s="230"/>
      <c r="D1" s="231"/>
      <c r="E1" s="229"/>
      <c r="F1" s="230"/>
      <c r="G1" s="230"/>
      <c r="H1" s="232"/>
      <c r="I1" s="229" t="s">
        <v>188</v>
      </c>
      <c r="J1" s="229"/>
      <c r="K1" s="231"/>
      <c r="L1" s="229"/>
      <c r="N1" s="229"/>
      <c r="O1" s="229" t="s">
        <v>188</v>
      </c>
      <c r="P1" s="229"/>
      <c r="Q1" s="194"/>
      <c r="R1" s="194"/>
      <c r="S1" s="194"/>
      <c r="T1" s="194"/>
      <c r="U1" s="194"/>
      <c r="V1" s="194"/>
      <c r="W1" s="194"/>
      <c r="X1" s="194"/>
      <c r="Y1" s="194"/>
    </row>
    <row r="2" spans="1:25" s="174" customFormat="1" ht="39.75" customHeight="1">
      <c r="A2" s="243" t="s">
        <v>58</v>
      </c>
      <c r="B2" s="234" t="s">
        <v>300</v>
      </c>
      <c r="C2" s="234" t="s">
        <v>301</v>
      </c>
      <c r="D2" s="235" t="s">
        <v>302</v>
      </c>
      <c r="E2" s="233" t="s">
        <v>303</v>
      </c>
      <c r="F2" s="236" t="s">
        <v>59</v>
      </c>
      <c r="G2" s="236" t="s">
        <v>60</v>
      </c>
      <c r="H2" s="237" t="s">
        <v>61</v>
      </c>
      <c r="I2" s="238" t="s">
        <v>62</v>
      </c>
      <c r="J2" s="238" t="s">
        <v>63</v>
      </c>
      <c r="K2" s="239" t="s">
        <v>64</v>
      </c>
      <c r="L2" s="240" t="s">
        <v>65</v>
      </c>
      <c r="M2" s="240" t="s">
        <v>191</v>
      </c>
      <c r="N2" s="240" t="s">
        <v>66</v>
      </c>
      <c r="O2" s="172" t="s">
        <v>58</v>
      </c>
      <c r="P2" s="249" t="s">
        <v>304</v>
      </c>
      <c r="Q2" s="189" t="s">
        <v>305</v>
      </c>
      <c r="R2" s="189" t="s">
        <v>122</v>
      </c>
      <c r="S2" s="189" t="s">
        <v>67</v>
      </c>
      <c r="T2" s="189" t="s">
        <v>68</v>
      </c>
      <c r="U2" s="189" t="s">
        <v>69</v>
      </c>
      <c r="V2" s="189" t="s">
        <v>297</v>
      </c>
      <c r="W2" s="189" t="s">
        <v>298</v>
      </c>
      <c r="X2" s="189" t="s">
        <v>70</v>
      </c>
      <c r="Y2" s="189" t="s">
        <v>71</v>
      </c>
    </row>
    <row r="3" spans="1:25">
      <c r="A3" s="191" t="s">
        <v>56</v>
      </c>
      <c r="B3" s="202"/>
      <c r="C3" s="202"/>
      <c r="D3" s="203"/>
      <c r="E3" s="266">
        <v>0.36296901988166552</v>
      </c>
      <c r="F3" s="202"/>
      <c r="G3" s="202"/>
      <c r="H3" s="204"/>
      <c r="I3" s="202"/>
      <c r="J3" s="202"/>
      <c r="K3" s="204"/>
      <c r="L3" s="205"/>
      <c r="M3" s="204"/>
      <c r="N3" s="204"/>
      <c r="O3" s="194" t="s">
        <v>56</v>
      </c>
      <c r="P3" s="202"/>
      <c r="Q3" s="202"/>
      <c r="R3" s="202"/>
      <c r="S3" s="202"/>
      <c r="T3" s="204"/>
      <c r="U3" s="204"/>
      <c r="V3" s="202"/>
      <c r="W3" s="202"/>
      <c r="X3" s="202"/>
      <c r="Y3" s="204"/>
    </row>
    <row r="4" spans="1:25">
      <c r="A4" s="181" t="s">
        <v>1</v>
      </c>
      <c r="B4" s="202"/>
      <c r="C4" s="202"/>
      <c r="D4" s="203"/>
      <c r="E4" s="205"/>
      <c r="F4" s="202"/>
      <c r="G4" s="202"/>
      <c r="H4" s="204"/>
      <c r="I4" s="202"/>
      <c r="J4" s="202"/>
      <c r="K4" s="204"/>
      <c r="L4" s="205"/>
      <c r="M4" s="204"/>
      <c r="N4" s="204"/>
      <c r="O4" s="181" t="s">
        <v>1</v>
      </c>
      <c r="P4" s="202">
        <v>5372</v>
      </c>
      <c r="Q4" s="202"/>
      <c r="R4" s="202"/>
      <c r="S4" s="202">
        <f>P4+Q4+R4</f>
        <v>5372</v>
      </c>
      <c r="T4" s="204">
        <f>(B4/S4)*100</f>
        <v>0</v>
      </c>
      <c r="U4" s="204"/>
      <c r="V4" s="202">
        <v>2228</v>
      </c>
      <c r="W4" s="202"/>
      <c r="X4" s="202">
        <f t="shared" ref="X4:X12" si="0">V4+W4+R4</f>
        <v>2228</v>
      </c>
      <c r="Y4" s="204">
        <f>(B4/X4)*100</f>
        <v>0</v>
      </c>
    </row>
    <row r="5" spans="1:25">
      <c r="A5" s="181" t="s">
        <v>2</v>
      </c>
      <c r="B5" s="202">
        <v>95625</v>
      </c>
      <c r="C5" s="202">
        <v>394727</v>
      </c>
      <c r="D5" s="203">
        <v>4.127864052287582</v>
      </c>
      <c r="E5" s="205">
        <v>0.77</v>
      </c>
      <c r="F5" s="202">
        <v>48669</v>
      </c>
      <c r="G5" s="202">
        <v>126479</v>
      </c>
      <c r="H5" s="204">
        <v>2.5987589636113335</v>
      </c>
      <c r="I5" s="202">
        <v>46956</v>
      </c>
      <c r="J5" s="202">
        <v>268248</v>
      </c>
      <c r="K5" s="204">
        <v>5.712752363915155</v>
      </c>
      <c r="L5" s="205">
        <f t="shared" ref="L5:L12" si="1">I5/F5</f>
        <v>0.96480305738765948</v>
      </c>
      <c r="M5" s="204">
        <f>I5/B5</f>
        <v>0.49104313725490195</v>
      </c>
      <c r="N5" s="204">
        <f t="shared" ref="N5:N12" si="2">J5/G5</f>
        <v>2.12088963385226</v>
      </c>
      <c r="O5" s="181" t="s">
        <v>2</v>
      </c>
      <c r="P5" s="202">
        <v>184138</v>
      </c>
      <c r="Q5" s="202">
        <v>155168</v>
      </c>
      <c r="R5" s="202">
        <v>48435</v>
      </c>
      <c r="S5" s="202">
        <f>P5+Q5+R5</f>
        <v>387741</v>
      </c>
      <c r="T5" s="204">
        <f>(B5/S5)*100</f>
        <v>24.662081131476938</v>
      </c>
      <c r="U5" s="204">
        <f>(I5/R5)*100</f>
        <v>96.94642304118922</v>
      </c>
      <c r="V5" s="202">
        <v>109618</v>
      </c>
      <c r="W5" s="202">
        <f>'[1]2012'!CJ15-('[1]2012'!K15*12)</f>
        <v>35996</v>
      </c>
      <c r="X5" s="202">
        <f t="shared" si="0"/>
        <v>194049</v>
      </c>
      <c r="Y5" s="204">
        <f>(B5/X5)*100</f>
        <v>49.278790408608138</v>
      </c>
    </row>
    <row r="6" spans="1:25">
      <c r="A6" s="181" t="s">
        <v>3</v>
      </c>
      <c r="B6" s="202">
        <v>11853</v>
      </c>
      <c r="C6" s="202">
        <v>45849</v>
      </c>
      <c r="D6" s="203">
        <v>3.868134649455834</v>
      </c>
      <c r="E6" s="205">
        <v>0.76</v>
      </c>
      <c r="F6" s="202">
        <v>8790</v>
      </c>
      <c r="G6" s="202">
        <v>28880</v>
      </c>
      <c r="H6" s="204">
        <v>3.2855517633674629</v>
      </c>
      <c r="I6" s="202">
        <v>3063</v>
      </c>
      <c r="J6" s="202">
        <v>16969</v>
      </c>
      <c r="K6" s="204">
        <v>5.5399934704538039</v>
      </c>
      <c r="L6" s="205">
        <f t="shared" si="1"/>
        <v>0.3484641638225256</v>
      </c>
      <c r="M6" s="204">
        <f t="shared" ref="M6:M52" si="3">I6/B6</f>
        <v>0.25841559098962286</v>
      </c>
      <c r="N6" s="204">
        <f t="shared" si="2"/>
        <v>0.58756925207756228</v>
      </c>
      <c r="O6" s="181" t="s">
        <v>3</v>
      </c>
      <c r="P6" s="202">
        <v>73508</v>
      </c>
      <c r="Q6" s="202">
        <v>33870</v>
      </c>
      <c r="R6" s="202">
        <v>7220</v>
      </c>
      <c r="S6" s="202">
        <f>P6+Q6+R6</f>
        <v>114598</v>
      </c>
      <c r="T6" s="204">
        <f>(B6/S6)*100</f>
        <v>10.343112445243372</v>
      </c>
      <c r="U6" s="204">
        <f>(I6/R6)*100</f>
        <v>42.423822714681442</v>
      </c>
      <c r="V6" s="202">
        <v>53072</v>
      </c>
      <c r="W6" s="202">
        <f>'[1]2012'!CJ16-('[1]2012'!K16*12)</f>
        <v>6678</v>
      </c>
      <c r="X6" s="202">
        <f t="shared" si="0"/>
        <v>66970</v>
      </c>
      <c r="Y6" s="204">
        <f>(B6/X6)*100</f>
        <v>17.698969687919963</v>
      </c>
    </row>
    <row r="7" spans="1:25">
      <c r="A7" s="181" t="s">
        <v>4</v>
      </c>
      <c r="B7" s="202">
        <v>6028</v>
      </c>
      <c r="C7" s="202">
        <v>28885</v>
      </c>
      <c r="D7" s="203">
        <v>4.7918049104180493</v>
      </c>
      <c r="E7" s="205">
        <v>0.83</v>
      </c>
      <c r="F7" s="202">
        <v>4932</v>
      </c>
      <c r="G7" s="202">
        <v>22197</v>
      </c>
      <c r="H7" s="204">
        <v>4.5006082725060823</v>
      </c>
      <c r="I7" s="202">
        <v>1096</v>
      </c>
      <c r="J7" s="202">
        <v>6688</v>
      </c>
      <c r="K7" s="204">
        <v>6.1021897810218979</v>
      </c>
      <c r="L7" s="205">
        <f t="shared" si="1"/>
        <v>0.22222222222222221</v>
      </c>
      <c r="M7" s="204">
        <f t="shared" si="3"/>
        <v>0.18181818181818182</v>
      </c>
      <c r="N7" s="204">
        <f t="shared" si="2"/>
        <v>0.30130197774474027</v>
      </c>
      <c r="O7" s="181" t="s">
        <v>4</v>
      </c>
      <c r="P7" s="202">
        <v>58709</v>
      </c>
      <c r="Q7" s="202">
        <v>18799</v>
      </c>
      <c r="R7" s="202">
        <v>0</v>
      </c>
      <c r="S7" s="202">
        <f>P7+Q7+R7</f>
        <v>77508</v>
      </c>
      <c r="T7" s="204">
        <f>(B7/S7)*100</f>
        <v>7.7772617020178556</v>
      </c>
      <c r="U7" s="204"/>
      <c r="V7" s="202">
        <v>39005</v>
      </c>
      <c r="W7" s="202">
        <f>'[1]2012'!CJ17-('[1]2012'!K17*12)</f>
        <v>7951</v>
      </c>
      <c r="X7" s="202">
        <f t="shared" si="0"/>
        <v>46956</v>
      </c>
      <c r="Y7" s="204">
        <f>(B7/X7)*100</f>
        <v>12.837550046852373</v>
      </c>
    </row>
    <row r="8" spans="1:25">
      <c r="A8" s="181" t="s">
        <v>5</v>
      </c>
      <c r="B8" s="202">
        <v>95</v>
      </c>
      <c r="C8" s="202">
        <v>225</v>
      </c>
      <c r="D8" s="203">
        <v>2.3684210526315788</v>
      </c>
      <c r="E8" s="205">
        <v>0.72</v>
      </c>
      <c r="F8" s="202">
        <v>64</v>
      </c>
      <c r="G8" s="202">
        <v>126</v>
      </c>
      <c r="H8" s="204">
        <v>1.96875</v>
      </c>
      <c r="I8" s="202">
        <v>31</v>
      </c>
      <c r="J8" s="202">
        <v>99</v>
      </c>
      <c r="K8" s="204">
        <v>3.193548387096774</v>
      </c>
      <c r="L8" s="205">
        <f t="shared" si="1"/>
        <v>0.484375</v>
      </c>
      <c r="M8" s="204">
        <f t="shared" si="3"/>
        <v>0.32631578947368423</v>
      </c>
      <c r="N8" s="204">
        <f t="shared" si="2"/>
        <v>0.7857142857142857</v>
      </c>
      <c r="O8" s="181" t="s">
        <v>5</v>
      </c>
      <c r="P8" s="202">
        <v>15678</v>
      </c>
      <c r="Q8" s="202"/>
      <c r="R8" s="202"/>
      <c r="S8" s="202">
        <f>P8+Q8+R8</f>
        <v>15678</v>
      </c>
      <c r="T8" s="204">
        <f>(B8/S8)*100</f>
        <v>0.60594463579538205</v>
      </c>
      <c r="U8" s="204"/>
      <c r="V8" s="202">
        <v>8310</v>
      </c>
      <c r="W8" s="202"/>
      <c r="X8" s="202">
        <f t="shared" si="0"/>
        <v>8310</v>
      </c>
      <c r="Y8" s="204">
        <f>(B8/X8)*100</f>
        <v>1.1432009626955475</v>
      </c>
    </row>
    <row r="9" spans="1:25">
      <c r="A9" s="181" t="s">
        <v>6</v>
      </c>
      <c r="B9" s="202">
        <v>99561</v>
      </c>
      <c r="C9" s="202">
        <v>656947</v>
      </c>
      <c r="D9" s="203">
        <v>6.5984371390403869</v>
      </c>
      <c r="E9" s="205">
        <v>0.85</v>
      </c>
      <c r="F9" s="202">
        <v>19661</v>
      </c>
      <c r="G9" s="202">
        <v>68189</v>
      </c>
      <c r="H9" s="204">
        <v>3.4682366105488023</v>
      </c>
      <c r="I9" s="202">
        <v>79900</v>
      </c>
      <c r="J9" s="202">
        <v>588758</v>
      </c>
      <c r="K9" s="204">
        <v>7.368685857321652</v>
      </c>
      <c r="L9" s="205">
        <f t="shared" si="1"/>
        <v>4.0638828136920804</v>
      </c>
      <c r="M9" s="204">
        <f t="shared" si="3"/>
        <v>0.80252307630497888</v>
      </c>
      <c r="N9" s="204">
        <f t="shared" si="2"/>
        <v>8.6342078634383839</v>
      </c>
      <c r="O9" s="181" t="s">
        <v>6</v>
      </c>
      <c r="P9" s="202">
        <v>103498</v>
      </c>
      <c r="Q9" s="202">
        <v>72686</v>
      </c>
      <c r="R9" s="202">
        <v>108151</v>
      </c>
      <c r="S9" s="202">
        <f>P9+Q9+R9</f>
        <v>284335</v>
      </c>
      <c r="T9" s="204">
        <f>(B9/S9)*100</f>
        <v>35.015386779678899</v>
      </c>
      <c r="U9" s="204">
        <f>(I9/R9)*100</f>
        <v>73.878188828582253</v>
      </c>
      <c r="V9" s="202">
        <v>62638</v>
      </c>
      <c r="W9" s="202">
        <f>'[1]2012'!CJ18-('[1]2012'!K18*12)</f>
        <v>19826</v>
      </c>
      <c r="X9" s="202">
        <f t="shared" si="0"/>
        <v>190615</v>
      </c>
      <c r="Y9" s="204">
        <f>(B9/X9)*100</f>
        <v>52.231461322561181</v>
      </c>
    </row>
    <row r="10" spans="1:25">
      <c r="A10" s="181" t="s">
        <v>7</v>
      </c>
      <c r="B10" s="202">
        <v>46600</v>
      </c>
      <c r="C10" s="202">
        <v>143760</v>
      </c>
      <c r="D10" s="203">
        <v>3.0849785407725321</v>
      </c>
      <c r="E10" s="205">
        <v>0.66</v>
      </c>
      <c r="F10" s="202">
        <v>26578</v>
      </c>
      <c r="G10" s="202">
        <v>73385</v>
      </c>
      <c r="H10" s="204">
        <v>2.7611182180750995</v>
      </c>
      <c r="I10" s="202">
        <v>20022</v>
      </c>
      <c r="J10" s="202">
        <v>70375</v>
      </c>
      <c r="K10" s="204">
        <v>3.5148836280091897</v>
      </c>
      <c r="L10" s="205">
        <f t="shared" si="1"/>
        <v>0.75332982165700957</v>
      </c>
      <c r="M10" s="204">
        <f t="shared" si="3"/>
        <v>0.42965665236051503</v>
      </c>
      <c r="N10" s="204">
        <f t="shared" si="2"/>
        <v>0.95898344348300057</v>
      </c>
      <c r="O10" s="181" t="s">
        <v>7</v>
      </c>
      <c r="P10" s="202">
        <v>204616</v>
      </c>
      <c r="Q10" s="202">
        <v>82004</v>
      </c>
      <c r="R10" s="202">
        <v>8433</v>
      </c>
      <c r="S10" s="202">
        <f>P10+Q10+R10</f>
        <v>295053</v>
      </c>
      <c r="T10" s="204">
        <f>(B10/S10)*100</f>
        <v>15.793772644236798</v>
      </c>
      <c r="U10" s="204">
        <f>(I10/R10)*100</f>
        <v>237.42440412664533</v>
      </c>
      <c r="V10" s="202">
        <v>98524</v>
      </c>
      <c r="W10" s="202">
        <f>'[1]2012'!CJ19-('[1]2012'!K19*12)</f>
        <v>12164</v>
      </c>
      <c r="X10" s="202">
        <f t="shared" si="0"/>
        <v>119121</v>
      </c>
      <c r="Y10" s="204">
        <f>(B10/X10)*100</f>
        <v>39.119886501960195</v>
      </c>
    </row>
    <row r="11" spans="1:25">
      <c r="A11" s="181" t="s">
        <v>8</v>
      </c>
      <c r="B11" s="202">
        <v>47</v>
      </c>
      <c r="C11" s="202">
        <v>79</v>
      </c>
      <c r="D11" s="203">
        <v>1.6808510638297873</v>
      </c>
      <c r="E11" s="205">
        <v>0.54</v>
      </c>
      <c r="F11" s="202">
        <v>46</v>
      </c>
      <c r="G11" s="202">
        <v>77</v>
      </c>
      <c r="H11" s="204">
        <v>1.673913043478261</v>
      </c>
      <c r="I11" s="202">
        <v>1</v>
      </c>
      <c r="J11" s="202">
        <v>2</v>
      </c>
      <c r="K11" s="204">
        <v>2</v>
      </c>
      <c r="L11" s="205">
        <f t="shared" si="1"/>
        <v>2.1739130434782608E-2</v>
      </c>
      <c r="M11" s="204">
        <f t="shared" si="3"/>
        <v>2.1276595744680851E-2</v>
      </c>
      <c r="N11" s="204">
        <f t="shared" si="2"/>
        <v>2.5974025974025976E-2</v>
      </c>
      <c r="O11" s="181" t="s">
        <v>8</v>
      </c>
      <c r="P11" s="202">
        <v>16493</v>
      </c>
      <c r="Q11" s="202"/>
      <c r="R11" s="202"/>
      <c r="S11" s="202">
        <f>P11+Q11+R11</f>
        <v>16493</v>
      </c>
      <c r="T11" s="204">
        <f>(B11/S11)*100</f>
        <v>0.2849693809494937</v>
      </c>
      <c r="U11" s="204"/>
      <c r="V11" s="202">
        <v>5069</v>
      </c>
      <c r="W11" s="202"/>
      <c r="X11" s="202">
        <f t="shared" si="0"/>
        <v>5069</v>
      </c>
      <c r="Y11" s="204">
        <f>(B11/X11)*100</f>
        <v>0.92720457683961333</v>
      </c>
    </row>
    <row r="12" spans="1:25">
      <c r="A12" s="181" t="s">
        <v>9</v>
      </c>
      <c r="B12" s="202">
        <v>110</v>
      </c>
      <c r="C12" s="202">
        <v>960</v>
      </c>
      <c r="D12" s="203">
        <v>8.7272727272727266</v>
      </c>
      <c r="E12" s="205">
        <v>0.44</v>
      </c>
      <c r="F12" s="202">
        <v>104</v>
      </c>
      <c r="G12" s="202">
        <v>954</v>
      </c>
      <c r="H12" s="204">
        <v>9.1730769230769234</v>
      </c>
      <c r="I12" s="202">
        <v>6</v>
      </c>
      <c r="J12" s="202">
        <v>6</v>
      </c>
      <c r="K12" s="204">
        <v>1</v>
      </c>
      <c r="L12" s="205">
        <f t="shared" si="1"/>
        <v>5.7692307692307696E-2</v>
      </c>
      <c r="M12" s="204">
        <f t="shared" si="3"/>
        <v>5.4545454545454543E-2</v>
      </c>
      <c r="N12" s="204">
        <f t="shared" si="2"/>
        <v>6.2893081761006293E-3</v>
      </c>
      <c r="O12" s="181" t="s">
        <v>9</v>
      </c>
      <c r="P12" s="202">
        <v>8203</v>
      </c>
      <c r="Q12" s="202"/>
      <c r="R12" s="202"/>
      <c r="S12" s="202">
        <f>P12+Q12+R12</f>
        <v>8203</v>
      </c>
      <c r="T12" s="204">
        <f>(B12/S12)*100</f>
        <v>1.3409728148238449</v>
      </c>
      <c r="U12" s="204"/>
      <c r="V12" s="202">
        <v>5215</v>
      </c>
      <c r="W12" s="202"/>
      <c r="X12" s="202">
        <f t="shared" si="0"/>
        <v>5215</v>
      </c>
      <c r="Y12" s="204">
        <f>(B12/X12)*100</f>
        <v>2.109300095877277</v>
      </c>
    </row>
    <row r="13" spans="1:25">
      <c r="A13" s="185" t="s">
        <v>57</v>
      </c>
      <c r="B13" s="202"/>
      <c r="C13" s="202"/>
      <c r="D13" s="203"/>
      <c r="E13" s="266">
        <v>0.4254401701938495</v>
      </c>
      <c r="F13" s="202"/>
      <c r="G13" s="202"/>
      <c r="H13" s="204"/>
      <c r="I13" s="202"/>
      <c r="J13" s="202"/>
      <c r="K13" s="204"/>
      <c r="L13" s="205"/>
      <c r="M13" s="204"/>
      <c r="N13" s="204"/>
      <c r="O13" s="181" t="s">
        <v>57</v>
      </c>
      <c r="P13" s="202"/>
      <c r="Q13" s="202"/>
      <c r="R13" s="202"/>
      <c r="S13" s="202"/>
      <c r="T13" s="204"/>
      <c r="U13" s="204"/>
      <c r="V13" s="202"/>
      <c r="W13" s="202"/>
      <c r="X13" s="202"/>
      <c r="Y13" s="204"/>
    </row>
    <row r="14" spans="1:25">
      <c r="A14" s="181" t="s">
        <v>11</v>
      </c>
      <c r="B14" s="202"/>
      <c r="C14" s="202"/>
      <c r="D14" s="203"/>
      <c r="E14" s="203"/>
      <c r="F14" s="202"/>
      <c r="G14" s="202"/>
      <c r="H14" s="204"/>
      <c r="I14" s="202"/>
      <c r="J14" s="202"/>
      <c r="K14" s="204"/>
      <c r="L14" s="205"/>
      <c r="M14" s="204"/>
      <c r="N14" s="204"/>
      <c r="O14" s="181" t="s">
        <v>11</v>
      </c>
      <c r="P14" s="202">
        <v>3920</v>
      </c>
      <c r="Q14" s="202"/>
      <c r="R14" s="202"/>
      <c r="S14" s="202">
        <f>P14+Q14+R14</f>
        <v>3920</v>
      </c>
      <c r="T14" s="204">
        <f>(B14/S14)*100</f>
        <v>0</v>
      </c>
      <c r="U14" s="204"/>
      <c r="V14" s="202">
        <v>2192</v>
      </c>
      <c r="W14" s="202"/>
      <c r="X14" s="202">
        <f t="shared" ref="X14:X52" si="4">V14+W14+R14</f>
        <v>2192</v>
      </c>
      <c r="Y14" s="204">
        <f>(B14/X14)*100</f>
        <v>0</v>
      </c>
    </row>
    <row r="15" spans="1:25">
      <c r="A15" s="181" t="s">
        <v>12</v>
      </c>
      <c r="B15" s="202">
        <v>847</v>
      </c>
      <c r="C15" s="202">
        <v>3259</v>
      </c>
      <c r="D15" s="203">
        <v>3.8476977567886661</v>
      </c>
      <c r="E15" s="205">
        <v>0.99</v>
      </c>
      <c r="F15" s="202">
        <v>665</v>
      </c>
      <c r="G15" s="202">
        <v>2626</v>
      </c>
      <c r="H15" s="204">
        <v>3.948872180451128</v>
      </c>
      <c r="I15" s="202">
        <v>182</v>
      </c>
      <c r="J15" s="202">
        <v>633</v>
      </c>
      <c r="K15" s="204">
        <v>3.4780219780219781</v>
      </c>
      <c r="L15" s="205">
        <f t="shared" ref="L15:L19" si="5">I15/F15</f>
        <v>0.27368421052631581</v>
      </c>
      <c r="M15" s="204">
        <f t="shared" si="3"/>
        <v>0.21487603305785125</v>
      </c>
      <c r="N15" s="204">
        <f>J15/G15</f>
        <v>0.24105102817974106</v>
      </c>
      <c r="O15" s="181" t="s">
        <v>12</v>
      </c>
      <c r="P15" s="202">
        <v>11090</v>
      </c>
      <c r="Q15" s="202">
        <v>6080</v>
      </c>
      <c r="R15" s="202">
        <v>0</v>
      </c>
      <c r="S15" s="202">
        <f>P15+Q15+R15</f>
        <v>17170</v>
      </c>
      <c r="T15" s="204">
        <f>(B15/S15)*100</f>
        <v>4.9330227140361096</v>
      </c>
      <c r="U15" s="204"/>
      <c r="V15" s="202">
        <v>8462</v>
      </c>
      <c r="W15" s="202">
        <f>'[1]2012'!CJ20-('[1]2012'!K20*12)</f>
        <v>3764</v>
      </c>
      <c r="X15" s="202">
        <f t="shared" si="4"/>
        <v>12226</v>
      </c>
      <c r="Y15" s="204">
        <f>(B15/X15)*100</f>
        <v>6.9278586618681501</v>
      </c>
    </row>
    <row r="16" spans="1:25">
      <c r="A16" s="181" t="s">
        <v>13</v>
      </c>
      <c r="B16" s="202">
        <v>9440</v>
      </c>
      <c r="C16" s="202">
        <v>44307</v>
      </c>
      <c r="D16" s="203">
        <v>4.6935381355932204</v>
      </c>
      <c r="E16" s="205">
        <v>0.75787121673776148</v>
      </c>
      <c r="F16" s="202">
        <v>4503</v>
      </c>
      <c r="G16" s="202">
        <v>11265</v>
      </c>
      <c r="H16" s="204">
        <v>2.5016655562958028</v>
      </c>
      <c r="I16" s="202">
        <v>4937</v>
      </c>
      <c r="J16" s="202">
        <v>33042</v>
      </c>
      <c r="K16" s="204">
        <v>6.6927283775572208</v>
      </c>
      <c r="L16" s="205">
        <f t="shared" si="5"/>
        <v>1.0963801909837887</v>
      </c>
      <c r="M16" s="204">
        <f t="shared" si="3"/>
        <v>0.52298728813559325</v>
      </c>
      <c r="N16" s="204">
        <f>J16/G16</f>
        <v>2.9331557922769642</v>
      </c>
      <c r="O16" s="181" t="s">
        <v>13</v>
      </c>
      <c r="P16" s="202">
        <v>145984</v>
      </c>
      <c r="Q16" s="202">
        <v>9028</v>
      </c>
      <c r="R16" s="202">
        <v>0</v>
      </c>
      <c r="S16" s="202">
        <f>P16+Q16+R16</f>
        <v>155012</v>
      </c>
      <c r="T16" s="204">
        <f>(B16/S16)*100</f>
        <v>6.0898511083012927</v>
      </c>
      <c r="U16" s="204"/>
      <c r="V16" s="202">
        <v>72508</v>
      </c>
      <c r="W16" s="202">
        <f>'[1]2012'!CJ21-('[1]2012'!K21*12)</f>
        <v>3184</v>
      </c>
      <c r="X16" s="202">
        <f t="shared" si="4"/>
        <v>75692</v>
      </c>
      <c r="Y16" s="204">
        <f>(B16/X16)*100</f>
        <v>12.471595412989483</v>
      </c>
    </row>
    <row r="17" spans="1:25">
      <c r="A17" s="181" t="s">
        <v>14</v>
      </c>
      <c r="B17" s="202">
        <v>36678</v>
      </c>
      <c r="C17" s="202">
        <v>254929</v>
      </c>
      <c r="D17" s="203">
        <v>6.9504607666721192</v>
      </c>
      <c r="E17" s="205">
        <v>0.89</v>
      </c>
      <c r="F17" s="202">
        <v>3401</v>
      </c>
      <c r="G17" s="202">
        <v>16403</v>
      </c>
      <c r="H17" s="204">
        <v>4.8229932372831517</v>
      </c>
      <c r="I17" s="202">
        <v>33277</v>
      </c>
      <c r="J17" s="202">
        <v>238526</v>
      </c>
      <c r="K17" s="204">
        <v>7.1678937404213121</v>
      </c>
      <c r="L17" s="205">
        <f t="shared" si="5"/>
        <v>9.7844751543663619</v>
      </c>
      <c r="M17" s="204">
        <f t="shared" si="3"/>
        <v>0.90727411527346091</v>
      </c>
      <c r="N17" s="204">
        <f>J17/G17</f>
        <v>14.541608242394684</v>
      </c>
      <c r="O17" s="181" t="s">
        <v>14</v>
      </c>
      <c r="P17" s="202">
        <v>23893</v>
      </c>
      <c r="Q17" s="202">
        <v>24442</v>
      </c>
      <c r="R17" s="202">
        <v>59845</v>
      </c>
      <c r="S17" s="202">
        <f>P17+Q17+R17</f>
        <v>108180</v>
      </c>
      <c r="T17" s="204">
        <f>(B17/S17)*100</f>
        <v>33.904603438713252</v>
      </c>
      <c r="U17" s="204">
        <f>(I17/R17)*100</f>
        <v>55.605313727128411</v>
      </c>
      <c r="V17" s="202">
        <v>16849</v>
      </c>
      <c r="W17" s="202">
        <f>'[1]2012'!CJ22-('[1]2012'!K22*12)</f>
        <v>10882</v>
      </c>
      <c r="X17" s="202">
        <f t="shared" si="4"/>
        <v>87576</v>
      </c>
      <c r="Y17" s="204">
        <f>(B17/X17)*100</f>
        <v>41.881337352699369</v>
      </c>
    </row>
    <row r="18" spans="1:25">
      <c r="A18" s="181" t="s">
        <v>15</v>
      </c>
      <c r="B18" s="202">
        <v>334</v>
      </c>
      <c r="C18" s="202">
        <v>1259</v>
      </c>
      <c r="D18" s="203">
        <v>3.7694610778443112</v>
      </c>
      <c r="E18" s="205">
        <v>0.61</v>
      </c>
      <c r="F18" s="202">
        <v>302</v>
      </c>
      <c r="G18" s="202">
        <v>1116</v>
      </c>
      <c r="H18" s="204">
        <v>3.6953642384105962</v>
      </c>
      <c r="I18" s="202">
        <v>32</v>
      </c>
      <c r="J18" s="202">
        <v>143</v>
      </c>
      <c r="K18" s="204">
        <v>4.46875</v>
      </c>
      <c r="L18" s="205">
        <f t="shared" si="5"/>
        <v>0.10596026490066225</v>
      </c>
      <c r="M18" s="204">
        <f t="shared" si="3"/>
        <v>9.580838323353294E-2</v>
      </c>
      <c r="N18" s="204">
        <f>J18/G18</f>
        <v>0.12813620071684587</v>
      </c>
      <c r="O18" s="181" t="s">
        <v>15</v>
      </c>
      <c r="P18" s="202">
        <v>7915</v>
      </c>
      <c r="Q18" s="202">
        <v>1764</v>
      </c>
      <c r="R18" s="202">
        <v>0</v>
      </c>
      <c r="S18" s="202">
        <f>P18+Q18+R18</f>
        <v>9679</v>
      </c>
      <c r="T18" s="204">
        <f>(B18/S18)*100</f>
        <v>3.4507697076144228</v>
      </c>
      <c r="U18" s="204"/>
      <c r="V18" s="202">
        <v>5263</v>
      </c>
      <c r="W18" s="202">
        <f>'[1]2012'!CJ23-('[1]2012'!K23*12)</f>
        <v>468</v>
      </c>
      <c r="X18" s="202">
        <f t="shared" si="4"/>
        <v>5731</v>
      </c>
      <c r="Y18" s="204">
        <f>(B18/X18)*100</f>
        <v>5.8279532367824114</v>
      </c>
    </row>
    <row r="19" spans="1:25">
      <c r="A19" s="181" t="s">
        <v>16</v>
      </c>
      <c r="B19" s="202">
        <v>606392</v>
      </c>
      <c r="C19" s="202">
        <v>4522125</v>
      </c>
      <c r="D19" s="203">
        <v>7.457428528080845</v>
      </c>
      <c r="E19" s="205">
        <v>0.83</v>
      </c>
      <c r="F19" s="202">
        <v>34567</v>
      </c>
      <c r="G19" s="202">
        <v>166645</v>
      </c>
      <c r="H19" s="204">
        <v>4.8209274741805768</v>
      </c>
      <c r="I19" s="202">
        <v>571825</v>
      </c>
      <c r="J19" s="202">
        <v>4355480</v>
      </c>
      <c r="K19" s="204">
        <v>7.6168058409478423</v>
      </c>
      <c r="L19" s="205">
        <f t="shared" si="5"/>
        <v>16.542511644053576</v>
      </c>
      <c r="M19" s="204">
        <f t="shared" si="3"/>
        <v>0.94299561999498671</v>
      </c>
      <c r="N19" s="204">
        <f>J19/G19</f>
        <v>26.136277716103095</v>
      </c>
      <c r="O19" s="181" t="s">
        <v>16</v>
      </c>
      <c r="P19" s="202">
        <v>243319</v>
      </c>
      <c r="Q19" s="202">
        <v>93412</v>
      </c>
      <c r="R19" s="202">
        <v>802760</v>
      </c>
      <c r="S19" s="202">
        <f>P19+Q19+R19</f>
        <v>1139491</v>
      </c>
      <c r="T19" s="204">
        <f>(B19/S19)*100</f>
        <v>53.216041197341625</v>
      </c>
      <c r="U19" s="204">
        <f>(I19/R19)*100</f>
        <v>71.232373312073349</v>
      </c>
      <c r="V19" s="202">
        <v>131863</v>
      </c>
      <c r="W19" s="202">
        <f>'[1]2012'!CJ24-('[1]2012'!K24*12)</f>
        <v>24592</v>
      </c>
      <c r="X19" s="202">
        <f t="shared" si="4"/>
        <v>959215</v>
      </c>
      <c r="Y19" s="204">
        <f>(B19/X19)*100</f>
        <v>63.217526831836445</v>
      </c>
    </row>
    <row r="20" spans="1:25">
      <c r="A20" s="181" t="s">
        <v>17</v>
      </c>
      <c r="B20" s="202"/>
      <c r="C20" s="202"/>
      <c r="D20" s="203"/>
      <c r="E20" s="205"/>
      <c r="F20" s="202"/>
      <c r="G20" s="202"/>
      <c r="H20" s="204"/>
      <c r="I20" s="202"/>
      <c r="J20" s="202"/>
      <c r="K20" s="204"/>
      <c r="L20" s="205"/>
      <c r="M20" s="204"/>
      <c r="N20" s="204"/>
      <c r="O20" s="181" t="s">
        <v>17</v>
      </c>
      <c r="P20" s="202">
        <v>13930</v>
      </c>
      <c r="Q20" s="202"/>
      <c r="R20" s="202"/>
      <c r="S20" s="202">
        <f>P20+Q20+R20</f>
        <v>13930</v>
      </c>
      <c r="T20" s="204">
        <f>(B20/S20)*100</f>
        <v>0</v>
      </c>
      <c r="U20" s="204"/>
      <c r="V20" s="202">
        <v>10078</v>
      </c>
      <c r="W20" s="202"/>
      <c r="X20" s="202">
        <f t="shared" si="4"/>
        <v>10078</v>
      </c>
      <c r="Y20" s="204">
        <f>(B20/X20)*100</f>
        <v>0</v>
      </c>
    </row>
    <row r="21" spans="1:25">
      <c r="A21" s="181" t="s">
        <v>18</v>
      </c>
      <c r="B21" s="202">
        <v>2499</v>
      </c>
      <c r="C21" s="202">
        <v>14870</v>
      </c>
      <c r="D21" s="203">
        <v>5.9503801520608244</v>
      </c>
      <c r="E21" s="205">
        <v>0.86</v>
      </c>
      <c r="F21" s="202">
        <v>1484</v>
      </c>
      <c r="G21" s="202">
        <v>8640</v>
      </c>
      <c r="H21" s="204">
        <v>5.822102425876011</v>
      </c>
      <c r="I21" s="202">
        <v>1015</v>
      </c>
      <c r="J21" s="202">
        <v>6230</v>
      </c>
      <c r="K21" s="204">
        <v>6.1379310344827589</v>
      </c>
      <c r="L21" s="205">
        <f t="shared" ref="L21:L32" si="6">I21/F21</f>
        <v>0.68396226415094341</v>
      </c>
      <c r="M21" s="204">
        <f t="shared" si="3"/>
        <v>0.4061624649859944</v>
      </c>
      <c r="N21" s="204">
        <f t="shared" ref="N21:N32" si="7">J21/G21</f>
        <v>0.72106481481481477</v>
      </c>
      <c r="O21" s="181" t="s">
        <v>18</v>
      </c>
      <c r="P21" s="202">
        <v>45458</v>
      </c>
      <c r="Q21" s="202">
        <v>13561</v>
      </c>
      <c r="R21" s="202">
        <v>0</v>
      </c>
      <c r="S21" s="202">
        <f>P21+Q21+R21</f>
        <v>59019</v>
      </c>
      <c r="T21" s="204">
        <f>(B21/S21)*100</f>
        <v>4.2342296548569109</v>
      </c>
      <c r="U21" s="204"/>
      <c r="V21" s="202">
        <v>29114</v>
      </c>
      <c r="W21" s="202">
        <f>'[1]2012'!CJ25-('[1]2012'!K25*12)</f>
        <v>5041</v>
      </c>
      <c r="X21" s="202">
        <f t="shared" si="4"/>
        <v>34155</v>
      </c>
      <c r="Y21" s="204">
        <f>(B21/X21)*100</f>
        <v>7.316644707949056</v>
      </c>
    </row>
    <row r="22" spans="1:25">
      <c r="A22" s="181" t="s">
        <v>19</v>
      </c>
      <c r="B22" s="202">
        <v>1173</v>
      </c>
      <c r="C22" s="202">
        <v>4595</v>
      </c>
      <c r="D22" s="203">
        <v>3.9173060528559249</v>
      </c>
      <c r="E22" s="205">
        <v>0.87</v>
      </c>
      <c r="F22" s="202">
        <v>402</v>
      </c>
      <c r="G22" s="202">
        <v>1682</v>
      </c>
      <c r="H22" s="204">
        <v>4.1840796019900495</v>
      </c>
      <c r="I22" s="202">
        <v>771</v>
      </c>
      <c r="J22" s="202">
        <v>2913</v>
      </c>
      <c r="K22" s="204">
        <v>3.7782101167315174</v>
      </c>
      <c r="L22" s="205">
        <f t="shared" si="6"/>
        <v>1.9179104477611941</v>
      </c>
      <c r="M22" s="204">
        <f t="shared" si="3"/>
        <v>0.65728900255754474</v>
      </c>
      <c r="N22" s="204">
        <f t="shared" si="7"/>
        <v>1.7318668252080855</v>
      </c>
      <c r="O22" s="181" t="s">
        <v>19</v>
      </c>
      <c r="P22" s="202">
        <v>2886</v>
      </c>
      <c r="Q22" s="202">
        <v>1764</v>
      </c>
      <c r="R22" s="202">
        <v>0</v>
      </c>
      <c r="S22" s="202">
        <f>P22+Q22+R22</f>
        <v>4650</v>
      </c>
      <c r="T22" s="204">
        <f>(B22/S22)*100</f>
        <v>25.225806451612904</v>
      </c>
      <c r="U22" s="204"/>
      <c r="V22" s="202">
        <v>342</v>
      </c>
      <c r="W22" s="202">
        <f>'[1]2012'!CJ26-('[1]2012'!K26*12)</f>
        <v>1764</v>
      </c>
      <c r="X22" s="202">
        <f t="shared" si="4"/>
        <v>2106</v>
      </c>
      <c r="Y22" s="204">
        <f>(B22/X22)*100</f>
        <v>55.698005698005694</v>
      </c>
    </row>
    <row r="23" spans="1:25">
      <c r="A23" s="181" t="s">
        <v>20</v>
      </c>
      <c r="B23" s="202">
        <v>1603</v>
      </c>
      <c r="C23" s="202">
        <v>5847</v>
      </c>
      <c r="D23" s="203">
        <v>3.6475358702432938</v>
      </c>
      <c r="E23" s="205">
        <v>0.75</v>
      </c>
      <c r="F23" s="202">
        <v>1165</v>
      </c>
      <c r="G23" s="202">
        <v>4178</v>
      </c>
      <c r="H23" s="204">
        <v>3.5862660944206008</v>
      </c>
      <c r="I23" s="202">
        <v>438</v>
      </c>
      <c r="J23" s="202">
        <v>1669</v>
      </c>
      <c r="K23" s="204">
        <v>3.810502283105023</v>
      </c>
      <c r="L23" s="205">
        <f t="shared" si="6"/>
        <v>0.37596566523605152</v>
      </c>
      <c r="M23" s="204">
        <f t="shared" si="3"/>
        <v>0.27323767935121646</v>
      </c>
      <c r="N23" s="204">
        <f t="shared" si="7"/>
        <v>0.39947343226424126</v>
      </c>
      <c r="O23" s="181" t="s">
        <v>20</v>
      </c>
      <c r="P23" s="202">
        <v>10066</v>
      </c>
      <c r="Q23" s="202"/>
      <c r="R23" s="202"/>
      <c r="S23" s="202">
        <f>P23+Q23+R23</f>
        <v>10066</v>
      </c>
      <c r="T23" s="204">
        <f>(B23/S23)*100</f>
        <v>15.924895688456189</v>
      </c>
      <c r="U23" s="204"/>
      <c r="V23" s="202">
        <v>2182</v>
      </c>
      <c r="W23" s="202"/>
      <c r="X23" s="202">
        <f t="shared" si="4"/>
        <v>2182</v>
      </c>
      <c r="Y23" s="204">
        <f>(B23/X23)*100</f>
        <v>73.464711274060491</v>
      </c>
    </row>
    <row r="24" spans="1:25">
      <c r="A24" s="181" t="s">
        <v>21</v>
      </c>
      <c r="B24" s="202">
        <v>14176</v>
      </c>
      <c r="C24" s="202">
        <v>47943</v>
      </c>
      <c r="D24" s="203">
        <v>3.3819836343115126</v>
      </c>
      <c r="E24" s="205">
        <v>0.83</v>
      </c>
      <c r="F24" s="202">
        <v>7254</v>
      </c>
      <c r="G24" s="202">
        <v>23984</v>
      </c>
      <c r="H24" s="204">
        <v>3.3063137579266613</v>
      </c>
      <c r="I24" s="202">
        <v>6922</v>
      </c>
      <c r="J24" s="202">
        <v>23959</v>
      </c>
      <c r="K24" s="204">
        <v>3.4612828662236348</v>
      </c>
      <c r="L24" s="205">
        <f t="shared" si="6"/>
        <v>0.95423214778053489</v>
      </c>
      <c r="M24" s="204">
        <f t="shared" si="3"/>
        <v>0.48829006772009032</v>
      </c>
      <c r="N24" s="204">
        <f t="shared" si="7"/>
        <v>0.99895763842561702</v>
      </c>
      <c r="O24" s="181" t="s">
        <v>21</v>
      </c>
      <c r="P24" s="202">
        <v>57316</v>
      </c>
      <c r="Q24" s="202"/>
      <c r="R24" s="202"/>
      <c r="S24" s="202">
        <f>P24+Q24+R24</f>
        <v>57316</v>
      </c>
      <c r="T24" s="204">
        <f>(B24/S24)*100</f>
        <v>24.733058831739829</v>
      </c>
      <c r="U24" s="204"/>
      <c r="V24" s="202">
        <v>45520</v>
      </c>
      <c r="W24" s="202"/>
      <c r="X24" s="202">
        <f t="shared" si="4"/>
        <v>45520</v>
      </c>
      <c r="Y24" s="204">
        <f>(B24/X24)*100</f>
        <v>31.142355008787348</v>
      </c>
    </row>
    <row r="25" spans="1:25">
      <c r="A25" s="181" t="s">
        <v>22</v>
      </c>
      <c r="B25" s="202">
        <v>1384269</v>
      </c>
      <c r="C25" s="202">
        <v>8815271</v>
      </c>
      <c r="D25" s="203">
        <v>6.3681777169032898</v>
      </c>
      <c r="E25" s="205">
        <v>0.78</v>
      </c>
      <c r="F25" s="202">
        <v>104505</v>
      </c>
      <c r="G25" s="202">
        <v>398904</v>
      </c>
      <c r="H25" s="204">
        <v>3.8170805224630402</v>
      </c>
      <c r="I25" s="202">
        <v>1279764</v>
      </c>
      <c r="J25" s="202">
        <v>8416367</v>
      </c>
      <c r="K25" s="204">
        <v>6.5764992608012101</v>
      </c>
      <c r="L25" s="205">
        <f t="shared" si="6"/>
        <v>12.245959523467777</v>
      </c>
      <c r="M25" s="204">
        <f t="shared" si="3"/>
        <v>0.92450528040431446</v>
      </c>
      <c r="N25" s="204">
        <f t="shared" si="7"/>
        <v>21.098728014760443</v>
      </c>
      <c r="O25" s="181" t="s">
        <v>22</v>
      </c>
      <c r="P25" s="202">
        <v>246767</v>
      </c>
      <c r="Q25" s="202">
        <v>294635</v>
      </c>
      <c r="R25" s="202">
        <v>1606843</v>
      </c>
      <c r="S25" s="202">
        <f>P25+Q25+R25</f>
        <v>2148245</v>
      </c>
      <c r="T25" s="204">
        <f>(B25/S25)*100</f>
        <v>64.437203391605706</v>
      </c>
      <c r="U25" s="204">
        <f>(I25/R25)*100</f>
        <v>79.644619916195921</v>
      </c>
      <c r="V25" s="202">
        <v>152507</v>
      </c>
      <c r="W25" s="202">
        <f>'[1]2012'!CJ27-('[1]2012'!K27*12)</f>
        <v>82235</v>
      </c>
      <c r="X25" s="202">
        <f t="shared" si="4"/>
        <v>1841585</v>
      </c>
      <c r="Y25" s="204">
        <f>(B25/X25)*100</f>
        <v>75.16726081066038</v>
      </c>
    </row>
    <row r="26" spans="1:25">
      <c r="A26" s="181" t="s">
        <v>23</v>
      </c>
      <c r="B26" s="202">
        <v>7747</v>
      </c>
      <c r="C26" s="202">
        <v>31744</v>
      </c>
      <c r="D26" s="203">
        <v>4.0975861623854399</v>
      </c>
      <c r="E26" s="205">
        <v>0.83</v>
      </c>
      <c r="F26" s="202">
        <v>2795</v>
      </c>
      <c r="G26" s="202">
        <v>6880</v>
      </c>
      <c r="H26" s="204">
        <v>2.4615384615384617</v>
      </c>
      <c r="I26" s="202">
        <v>4952</v>
      </c>
      <c r="J26" s="202">
        <v>24864</v>
      </c>
      <c r="K26" s="204">
        <v>5.0210016155088857</v>
      </c>
      <c r="L26" s="205">
        <f t="shared" si="6"/>
        <v>1.7717352415026835</v>
      </c>
      <c r="M26" s="204">
        <f t="shared" si="3"/>
        <v>0.63921518006970435</v>
      </c>
      <c r="N26" s="204">
        <f t="shared" si="7"/>
        <v>3.613953488372093</v>
      </c>
      <c r="O26" s="181" t="s">
        <v>23</v>
      </c>
      <c r="P26" s="202">
        <v>139013</v>
      </c>
      <c r="Q26" s="202"/>
      <c r="R26" s="202"/>
      <c r="S26" s="202">
        <f>P26+Q26+R26</f>
        <v>139013</v>
      </c>
      <c r="T26" s="204">
        <f>(B26/S26)*100</f>
        <v>5.5728600922215907</v>
      </c>
      <c r="U26" s="204"/>
      <c r="V26" s="202">
        <v>125441</v>
      </c>
      <c r="W26" s="202"/>
      <c r="X26" s="202">
        <f t="shared" si="4"/>
        <v>125441</v>
      </c>
      <c r="Y26" s="204">
        <f>(B26/X26)*100</f>
        <v>6.1758117361947047</v>
      </c>
    </row>
    <row r="27" spans="1:25">
      <c r="A27" s="181" t="s">
        <v>24</v>
      </c>
      <c r="B27" s="202">
        <v>878</v>
      </c>
      <c r="C27" s="202">
        <v>3472</v>
      </c>
      <c r="D27" s="203">
        <v>3.9544419134396356</v>
      </c>
      <c r="E27" s="205">
        <v>0.71</v>
      </c>
      <c r="F27" s="202">
        <v>142</v>
      </c>
      <c r="G27" s="202">
        <v>376</v>
      </c>
      <c r="H27" s="204">
        <v>2.647887323943662</v>
      </c>
      <c r="I27" s="202">
        <v>736</v>
      </c>
      <c r="J27" s="202">
        <v>3096</v>
      </c>
      <c r="K27" s="204">
        <v>4.2065217391304346</v>
      </c>
      <c r="L27" s="205">
        <f t="shared" si="6"/>
        <v>5.183098591549296</v>
      </c>
      <c r="M27" s="204">
        <f t="shared" si="3"/>
        <v>0.8382687927107062</v>
      </c>
      <c r="N27" s="204">
        <f t="shared" si="7"/>
        <v>8.2340425531914896</v>
      </c>
      <c r="O27" s="181" t="s">
        <v>24</v>
      </c>
      <c r="P27" s="202">
        <v>7642</v>
      </c>
      <c r="Q27" s="202"/>
      <c r="R27" s="202"/>
      <c r="S27" s="202">
        <f>P27+Q27+R27</f>
        <v>7642</v>
      </c>
      <c r="T27" s="204">
        <f>(B27/S27)*100</f>
        <v>11.48913896885632</v>
      </c>
      <c r="U27" s="204"/>
      <c r="V27" s="202">
        <v>2398</v>
      </c>
      <c r="W27" s="202"/>
      <c r="X27" s="202">
        <f t="shared" si="4"/>
        <v>2398</v>
      </c>
      <c r="Y27" s="204">
        <f>(B27/X27)*100</f>
        <v>36.6138448707256</v>
      </c>
    </row>
    <row r="28" spans="1:25">
      <c r="A28" s="181" t="s">
        <v>25</v>
      </c>
      <c r="B28" s="202">
        <v>667</v>
      </c>
      <c r="C28" s="202">
        <v>2062</v>
      </c>
      <c r="D28" s="203">
        <v>3.0914542728635683</v>
      </c>
      <c r="E28" s="205">
        <v>0.75</v>
      </c>
      <c r="F28" s="202">
        <v>332</v>
      </c>
      <c r="G28" s="202">
        <v>808</v>
      </c>
      <c r="H28" s="204">
        <v>2.4337349397590362</v>
      </c>
      <c r="I28" s="202">
        <v>335</v>
      </c>
      <c r="J28" s="202">
        <v>1254</v>
      </c>
      <c r="K28" s="204">
        <v>3.743283582089552</v>
      </c>
      <c r="L28" s="205">
        <f t="shared" si="6"/>
        <v>1.0090361445783131</v>
      </c>
      <c r="M28" s="204">
        <f t="shared" si="3"/>
        <v>0.50224887556221887</v>
      </c>
      <c r="N28" s="204">
        <f t="shared" si="7"/>
        <v>1.551980198019802</v>
      </c>
      <c r="O28" s="181" t="s">
        <v>25</v>
      </c>
      <c r="P28" s="202">
        <v>8505</v>
      </c>
      <c r="Q28" s="202"/>
      <c r="R28" s="202"/>
      <c r="S28" s="202">
        <f>P28+Q28+R28</f>
        <v>8505</v>
      </c>
      <c r="T28" s="204">
        <f>(B28/S28)*100</f>
        <v>7.8424456202233985</v>
      </c>
      <c r="U28" s="204"/>
      <c r="V28" s="202">
        <v>5529</v>
      </c>
      <c r="W28" s="202"/>
      <c r="X28" s="202">
        <f t="shared" si="4"/>
        <v>5529</v>
      </c>
      <c r="Y28" s="204">
        <f>(B28/X28)*100</f>
        <v>12.063664315427744</v>
      </c>
    </row>
    <row r="29" spans="1:25">
      <c r="A29" s="181" t="s">
        <v>26</v>
      </c>
      <c r="B29" s="202">
        <v>1644</v>
      </c>
      <c r="C29" s="202">
        <v>6357</v>
      </c>
      <c r="D29" s="203">
        <v>3.8667883211678831</v>
      </c>
      <c r="E29" s="205">
        <v>0.96</v>
      </c>
      <c r="F29" s="202">
        <v>443</v>
      </c>
      <c r="G29" s="202">
        <v>1931</v>
      </c>
      <c r="H29" s="204">
        <v>4.3589164785553045</v>
      </c>
      <c r="I29" s="202">
        <v>1201</v>
      </c>
      <c r="J29" s="202">
        <v>4426</v>
      </c>
      <c r="K29" s="204">
        <v>3.6852622814321401</v>
      </c>
      <c r="L29" s="205">
        <f t="shared" si="6"/>
        <v>2.711060948081264</v>
      </c>
      <c r="M29" s="204">
        <f t="shared" si="3"/>
        <v>0.73053527980535282</v>
      </c>
      <c r="N29" s="204">
        <f t="shared" si="7"/>
        <v>2.2920766442257898</v>
      </c>
      <c r="O29" s="181" t="s">
        <v>26</v>
      </c>
      <c r="P29" s="202">
        <v>52161</v>
      </c>
      <c r="Q29" s="202"/>
      <c r="R29" s="202"/>
      <c r="S29" s="202">
        <f>P29+Q29+R29</f>
        <v>52161</v>
      </c>
      <c r="T29" s="204">
        <f>(B29/S29)*100</f>
        <v>3.1517800655662271</v>
      </c>
      <c r="U29" s="204"/>
      <c r="V29" s="202">
        <v>44013</v>
      </c>
      <c r="W29" s="202"/>
      <c r="X29" s="202">
        <f t="shared" si="4"/>
        <v>44013</v>
      </c>
      <c r="Y29" s="204">
        <f>(B29/X29)*100</f>
        <v>3.7352600368073072</v>
      </c>
    </row>
    <row r="30" spans="1:25">
      <c r="A30" s="181" t="s">
        <v>27</v>
      </c>
      <c r="B30" s="202">
        <v>188</v>
      </c>
      <c r="C30" s="202">
        <v>850</v>
      </c>
      <c r="D30" s="203">
        <v>4.5212765957446805</v>
      </c>
      <c r="E30" s="205">
        <v>0.98</v>
      </c>
      <c r="F30" s="202">
        <v>79</v>
      </c>
      <c r="G30" s="202">
        <v>295</v>
      </c>
      <c r="H30" s="204">
        <v>3.7341772151898733</v>
      </c>
      <c r="I30" s="202">
        <v>109</v>
      </c>
      <c r="J30" s="202">
        <v>555</v>
      </c>
      <c r="K30" s="204">
        <v>5.0917431192660549</v>
      </c>
      <c r="L30" s="205">
        <f t="shared" si="6"/>
        <v>1.379746835443038</v>
      </c>
      <c r="M30" s="204">
        <f t="shared" si="3"/>
        <v>0.57978723404255317</v>
      </c>
      <c r="N30" s="204">
        <f t="shared" si="7"/>
        <v>1.8813559322033899</v>
      </c>
      <c r="O30" s="181" t="s">
        <v>27</v>
      </c>
      <c r="P30" s="202">
        <v>12049</v>
      </c>
      <c r="Q30" s="202"/>
      <c r="R30" s="202"/>
      <c r="S30" s="202">
        <f>P30+Q30+R30</f>
        <v>12049</v>
      </c>
      <c r="T30" s="204">
        <f>(B30/S30)*100</f>
        <v>1.5602954602041663</v>
      </c>
      <c r="U30" s="204"/>
      <c r="V30" s="202">
        <v>10273</v>
      </c>
      <c r="W30" s="202"/>
      <c r="X30" s="202">
        <f t="shared" si="4"/>
        <v>10273</v>
      </c>
      <c r="Y30" s="204">
        <f>(B30/X30)*100</f>
        <v>1.8300399104448557</v>
      </c>
    </row>
    <row r="31" spans="1:25">
      <c r="A31" s="181" t="s">
        <v>28</v>
      </c>
      <c r="B31" s="202">
        <v>16004</v>
      </c>
      <c r="C31" s="202">
        <v>44201</v>
      </c>
      <c r="D31" s="203">
        <v>2.7618720319920018</v>
      </c>
      <c r="E31" s="205">
        <v>0.9198660663785887</v>
      </c>
      <c r="F31" s="202">
        <v>12649</v>
      </c>
      <c r="G31" s="202">
        <v>31649</v>
      </c>
      <c r="H31" s="204">
        <v>2.5020950272748834</v>
      </c>
      <c r="I31" s="202">
        <v>3355</v>
      </c>
      <c r="J31" s="202">
        <v>12552</v>
      </c>
      <c r="K31" s="204">
        <v>3.7412816691505215</v>
      </c>
      <c r="L31" s="205">
        <f t="shared" si="6"/>
        <v>0.26523835876353863</v>
      </c>
      <c r="M31" s="204">
        <f t="shared" si="3"/>
        <v>0.2096350912271932</v>
      </c>
      <c r="N31" s="204">
        <f t="shared" si="7"/>
        <v>0.39660020853739453</v>
      </c>
      <c r="O31" s="181" t="s">
        <v>28</v>
      </c>
      <c r="P31" s="202">
        <v>265664</v>
      </c>
      <c r="Q31" s="202"/>
      <c r="R31" s="202"/>
      <c r="S31" s="202">
        <f>P31+Q31+R31</f>
        <v>265664</v>
      </c>
      <c r="T31" s="204">
        <f>(B31/S31)*100</f>
        <v>6.0241508070344496</v>
      </c>
      <c r="U31" s="204"/>
      <c r="V31" s="202">
        <v>163232</v>
      </c>
      <c r="W31" s="202"/>
      <c r="X31" s="202">
        <f t="shared" si="4"/>
        <v>163232</v>
      </c>
      <c r="Y31" s="204">
        <f>(B31/X31)*100</f>
        <v>9.8044501078219959</v>
      </c>
    </row>
    <row r="32" spans="1:25">
      <c r="A32" s="181" t="s">
        <v>29</v>
      </c>
      <c r="B32" s="202">
        <v>2144</v>
      </c>
      <c r="C32" s="202">
        <v>10365</v>
      </c>
      <c r="D32" s="203">
        <v>4.8344216417910451</v>
      </c>
      <c r="E32" s="205">
        <v>0.98</v>
      </c>
      <c r="F32" s="202">
        <v>875</v>
      </c>
      <c r="G32" s="202">
        <v>3186</v>
      </c>
      <c r="H32" s="204">
        <v>3.641142857142857</v>
      </c>
      <c r="I32" s="202">
        <v>1269</v>
      </c>
      <c r="J32" s="202">
        <v>7179</v>
      </c>
      <c r="K32" s="204">
        <v>5.6572104018912528</v>
      </c>
      <c r="L32" s="205">
        <f t="shared" si="6"/>
        <v>1.4502857142857142</v>
      </c>
      <c r="M32" s="204">
        <f t="shared" si="3"/>
        <v>0.59188432835820892</v>
      </c>
      <c r="N32" s="204">
        <f t="shared" si="7"/>
        <v>2.2532956685499057</v>
      </c>
      <c r="O32" s="181" t="s">
        <v>29</v>
      </c>
      <c r="P32" s="202">
        <v>173810</v>
      </c>
      <c r="Q32" s="202"/>
      <c r="R32" s="202"/>
      <c r="S32" s="202">
        <f>P32+Q32+R32</f>
        <v>173810</v>
      </c>
      <c r="T32" s="204">
        <f>(B32/S32)*100</f>
        <v>1.2335308670387204</v>
      </c>
      <c r="U32" s="204"/>
      <c r="V32" s="202">
        <v>136874</v>
      </c>
      <c r="W32" s="202"/>
      <c r="X32" s="202">
        <f t="shared" si="4"/>
        <v>136874</v>
      </c>
      <c r="Y32" s="204">
        <f>(B32/X32)*100</f>
        <v>1.5664041381124247</v>
      </c>
    </row>
    <row r="33" spans="1:25">
      <c r="A33" s="181" t="s">
        <v>30</v>
      </c>
      <c r="B33" s="202"/>
      <c r="C33" s="202"/>
      <c r="D33" s="203"/>
      <c r="E33" s="205"/>
      <c r="F33" s="202"/>
      <c r="G33" s="202"/>
      <c r="H33" s="204"/>
      <c r="I33" s="202"/>
      <c r="J33" s="202"/>
      <c r="K33" s="204"/>
      <c r="L33" s="205"/>
      <c r="M33" s="204"/>
      <c r="N33" s="204"/>
      <c r="O33" s="181" t="s">
        <v>30</v>
      </c>
      <c r="P33" s="202">
        <v>10431</v>
      </c>
      <c r="Q33" s="202"/>
      <c r="R33" s="202"/>
      <c r="S33" s="202">
        <f>P33+Q33+R33</f>
        <v>10431</v>
      </c>
      <c r="T33" s="204">
        <f>(B33/S33)*100</f>
        <v>0</v>
      </c>
      <c r="U33" s="204"/>
      <c r="V33" s="202">
        <v>9315</v>
      </c>
      <c r="W33" s="202"/>
      <c r="X33" s="202">
        <f t="shared" si="4"/>
        <v>9315</v>
      </c>
      <c r="Y33" s="204">
        <f>(B33/X33)*100</f>
        <v>0</v>
      </c>
    </row>
    <row r="34" spans="1:25">
      <c r="A34" s="181" t="s">
        <v>31</v>
      </c>
      <c r="B34" s="202"/>
      <c r="C34" s="202"/>
      <c r="D34" s="203"/>
      <c r="E34" s="205"/>
      <c r="F34" s="202"/>
      <c r="G34" s="202"/>
      <c r="H34" s="204"/>
      <c r="I34" s="202"/>
      <c r="J34" s="202"/>
      <c r="K34" s="204"/>
      <c r="L34" s="205"/>
      <c r="M34" s="204"/>
      <c r="N34" s="204"/>
      <c r="O34" s="181" t="s">
        <v>31</v>
      </c>
      <c r="P34" s="202">
        <v>7792</v>
      </c>
      <c r="Q34" s="202"/>
      <c r="R34" s="202"/>
      <c r="S34" s="202">
        <f>P34+Q34+R34</f>
        <v>7792</v>
      </c>
      <c r="T34" s="204">
        <f>(B34/S34)*100</f>
        <v>0</v>
      </c>
      <c r="U34" s="204"/>
      <c r="V34" s="202">
        <v>5980</v>
      </c>
      <c r="W34" s="202"/>
      <c r="X34" s="202">
        <f t="shared" si="4"/>
        <v>5980</v>
      </c>
      <c r="Y34" s="204">
        <f>(B34/X34)*100</f>
        <v>0</v>
      </c>
    </row>
    <row r="35" spans="1:25">
      <c r="A35" s="181" t="s">
        <v>32</v>
      </c>
      <c r="B35" s="202">
        <v>105112</v>
      </c>
      <c r="C35" s="202">
        <v>404243</v>
      </c>
      <c r="D35" s="203">
        <v>3.8458311134789556</v>
      </c>
      <c r="E35" s="205">
        <v>0.83</v>
      </c>
      <c r="F35" s="202">
        <v>12039</v>
      </c>
      <c r="G35" s="202">
        <v>37993</v>
      </c>
      <c r="H35" s="204">
        <v>3.1558268959215883</v>
      </c>
      <c r="I35" s="202">
        <v>93073</v>
      </c>
      <c r="J35" s="202">
        <v>366250</v>
      </c>
      <c r="K35" s="204">
        <v>3.9350832142511791</v>
      </c>
      <c r="L35" s="205">
        <f>I35/F35</f>
        <v>7.7309577207409257</v>
      </c>
      <c r="M35" s="204">
        <f t="shared" si="3"/>
        <v>0.88546502777989189</v>
      </c>
      <c r="N35" s="204">
        <f>J35/G35</f>
        <v>9.6399336719922086</v>
      </c>
      <c r="O35" s="181" t="s">
        <v>32</v>
      </c>
      <c r="P35" s="202">
        <v>468886</v>
      </c>
      <c r="Q35" s="202">
        <v>166786</v>
      </c>
      <c r="R35" s="202">
        <v>200271</v>
      </c>
      <c r="S35" s="202">
        <f>P35+Q35+R35</f>
        <v>835943</v>
      </c>
      <c r="T35" s="204">
        <f>(B35/S35)*100</f>
        <v>12.574063064108437</v>
      </c>
      <c r="U35" s="204">
        <f>(I35/R35)*100</f>
        <v>46.473528369059927</v>
      </c>
      <c r="V35" s="202">
        <v>419062</v>
      </c>
      <c r="W35" s="202">
        <f>'[1]2012'!CJ28-('[1]2012'!K28*12)</f>
        <v>129586</v>
      </c>
      <c r="X35" s="202">
        <f t="shared" si="4"/>
        <v>748919</v>
      </c>
      <c r="Y35" s="204">
        <f>(B35/X35)*100</f>
        <v>14.035162681144422</v>
      </c>
    </row>
    <row r="36" spans="1:25">
      <c r="A36" s="181" t="s">
        <v>33</v>
      </c>
      <c r="B36" s="202"/>
      <c r="C36" s="202"/>
      <c r="D36" s="203"/>
      <c r="E36" s="205"/>
      <c r="F36" s="202"/>
      <c r="G36" s="202"/>
      <c r="H36" s="204"/>
      <c r="I36" s="202"/>
      <c r="J36" s="202"/>
      <c r="K36" s="204"/>
      <c r="L36" s="205"/>
      <c r="M36" s="204"/>
      <c r="N36" s="204"/>
      <c r="O36" s="181" t="s">
        <v>33</v>
      </c>
      <c r="P36" s="202">
        <v>297</v>
      </c>
      <c r="Q36" s="202"/>
      <c r="R36" s="202"/>
      <c r="S36" s="202">
        <f>P36+Q36+R36</f>
        <v>297</v>
      </c>
      <c r="T36" s="204">
        <f>(B36/S36)*100</f>
        <v>0</v>
      </c>
      <c r="U36" s="204"/>
      <c r="V36" s="202">
        <v>189</v>
      </c>
      <c r="W36" s="202"/>
      <c r="X36" s="202">
        <f t="shared" si="4"/>
        <v>189</v>
      </c>
      <c r="Y36" s="204">
        <f>(B36/X36)*100</f>
        <v>0</v>
      </c>
    </row>
    <row r="37" spans="1:25">
      <c r="A37" s="181" t="s">
        <v>34</v>
      </c>
      <c r="B37" s="202">
        <v>22314</v>
      </c>
      <c r="C37" s="202">
        <v>88862</v>
      </c>
      <c r="D37" s="203">
        <v>3.9823429237250156</v>
      </c>
      <c r="E37" s="205">
        <v>0.96</v>
      </c>
      <c r="F37" s="202">
        <v>5037</v>
      </c>
      <c r="G37" s="202">
        <v>20401</v>
      </c>
      <c r="H37" s="204">
        <v>4.0502283105022832</v>
      </c>
      <c r="I37" s="202">
        <v>17277</v>
      </c>
      <c r="J37" s="202">
        <v>68461</v>
      </c>
      <c r="K37" s="204">
        <v>3.9625513688719107</v>
      </c>
      <c r="L37" s="205">
        <f>I37/F37</f>
        <v>3.4300178677784396</v>
      </c>
      <c r="M37" s="204">
        <f t="shared" si="3"/>
        <v>0.77426727614950253</v>
      </c>
      <c r="N37" s="204">
        <f>J37/G37</f>
        <v>3.3557668741728346</v>
      </c>
      <c r="O37" s="181" t="s">
        <v>34</v>
      </c>
      <c r="P37" s="202">
        <v>94218</v>
      </c>
      <c r="Q37" s="202"/>
      <c r="R37" s="202"/>
      <c r="S37" s="202">
        <f>P37+Q37+R37</f>
        <v>94218</v>
      </c>
      <c r="T37" s="204">
        <f>(B37/S37)*100</f>
        <v>23.683372603961026</v>
      </c>
      <c r="U37" s="204"/>
      <c r="V37" s="202">
        <v>84138</v>
      </c>
      <c r="W37" s="202"/>
      <c r="X37" s="202">
        <f t="shared" si="4"/>
        <v>84138</v>
      </c>
      <c r="Y37" s="204">
        <f>(B37/X37)*100</f>
        <v>26.520715966626256</v>
      </c>
    </row>
    <row r="38" spans="1:25">
      <c r="A38" s="181" t="s">
        <v>35</v>
      </c>
      <c r="B38" s="202">
        <v>786</v>
      </c>
      <c r="C38" s="202">
        <v>1496</v>
      </c>
      <c r="D38" s="203">
        <v>1.9033078880407124</v>
      </c>
      <c r="E38" s="205">
        <v>0.85</v>
      </c>
      <c r="F38" s="202">
        <v>741</v>
      </c>
      <c r="G38" s="202">
        <v>1386</v>
      </c>
      <c r="H38" s="204">
        <v>1.8704453441295548</v>
      </c>
      <c r="I38" s="202">
        <v>45</v>
      </c>
      <c r="J38" s="202">
        <v>110</v>
      </c>
      <c r="K38" s="204">
        <v>2.4444444444444446</v>
      </c>
      <c r="L38" s="205">
        <f>I38/F38</f>
        <v>6.0728744939271252E-2</v>
      </c>
      <c r="M38" s="204">
        <f t="shared" si="3"/>
        <v>5.7251908396946563E-2</v>
      </c>
      <c r="N38" s="204">
        <f>J38/G38</f>
        <v>7.9365079365079361E-2</v>
      </c>
      <c r="O38" s="181" t="s">
        <v>35</v>
      </c>
      <c r="P38" s="202">
        <v>130552</v>
      </c>
      <c r="Q38" s="202"/>
      <c r="R38" s="202"/>
      <c r="S38" s="202">
        <f>P38+Q38+R38</f>
        <v>130552</v>
      </c>
      <c r="T38" s="204">
        <f>(B38/S38)*100</f>
        <v>0.60205894969054485</v>
      </c>
      <c r="U38" s="204"/>
      <c r="V38" s="202">
        <v>127120</v>
      </c>
      <c r="W38" s="202"/>
      <c r="X38" s="202">
        <f t="shared" si="4"/>
        <v>127120</v>
      </c>
      <c r="Y38" s="204">
        <f>(B38/X38)*100</f>
        <v>0.61831340465701701</v>
      </c>
    </row>
    <row r="39" spans="1:25">
      <c r="A39" s="181" t="s">
        <v>36</v>
      </c>
      <c r="B39" s="202"/>
      <c r="C39" s="202"/>
      <c r="D39" s="203"/>
      <c r="E39" s="205"/>
      <c r="F39" s="202"/>
      <c r="G39" s="202"/>
      <c r="H39" s="204"/>
      <c r="I39" s="202"/>
      <c r="J39" s="202"/>
      <c r="K39" s="204"/>
      <c r="L39" s="205"/>
      <c r="M39" s="204"/>
      <c r="N39" s="204"/>
      <c r="O39" s="181" t="s">
        <v>36</v>
      </c>
      <c r="P39" s="202">
        <v>31820</v>
      </c>
      <c r="Q39" s="202"/>
      <c r="R39" s="202"/>
      <c r="S39" s="202">
        <f>P39+Q39+R39</f>
        <v>31820</v>
      </c>
      <c r="T39" s="204">
        <f>(B39/S39)*100</f>
        <v>0</v>
      </c>
      <c r="U39" s="204"/>
      <c r="V39" s="202">
        <v>24380</v>
      </c>
      <c r="W39" s="202"/>
      <c r="X39" s="202">
        <f t="shared" si="4"/>
        <v>24380</v>
      </c>
      <c r="Y39" s="204">
        <f>(B39/X39)*100</f>
        <v>0</v>
      </c>
    </row>
    <row r="40" spans="1:25">
      <c r="A40" s="181" t="s">
        <v>37</v>
      </c>
      <c r="B40" s="202">
        <v>619</v>
      </c>
      <c r="C40" s="202">
        <v>3153</v>
      </c>
      <c r="D40" s="203">
        <v>5.0936995153473346</v>
      </c>
      <c r="E40" s="205">
        <v>1</v>
      </c>
      <c r="F40" s="202">
        <v>502</v>
      </c>
      <c r="G40" s="202">
        <v>2443</v>
      </c>
      <c r="H40" s="204">
        <v>4.8665338645418323</v>
      </c>
      <c r="I40" s="202">
        <v>117</v>
      </c>
      <c r="J40" s="202">
        <v>710</v>
      </c>
      <c r="K40" s="204">
        <v>6.0683760683760681</v>
      </c>
      <c r="L40" s="205">
        <f t="shared" ref="L40:L52" si="8">I40/F40</f>
        <v>0.23306772908366533</v>
      </c>
      <c r="M40" s="204">
        <f t="shared" si="3"/>
        <v>0.18901453957996769</v>
      </c>
      <c r="N40" s="204">
        <f t="shared" ref="N40:N52" si="9">J40/G40</f>
        <v>0.29062627916496109</v>
      </c>
      <c r="O40" s="181" t="s">
        <v>37</v>
      </c>
      <c r="P40" s="202">
        <v>33907</v>
      </c>
      <c r="Q40" s="202"/>
      <c r="R40" s="202"/>
      <c r="S40" s="202">
        <f>P40+Q40+R40</f>
        <v>33907</v>
      </c>
      <c r="T40" s="204">
        <f>(B40/S40)*100</f>
        <v>1.8255817382841302</v>
      </c>
      <c r="U40" s="204"/>
      <c r="V40" s="202">
        <v>30379</v>
      </c>
      <c r="W40" s="202"/>
      <c r="X40" s="202">
        <f t="shared" si="4"/>
        <v>30379</v>
      </c>
      <c r="Y40" s="204">
        <f>(B40/X40)*100</f>
        <v>2.0375917574640376</v>
      </c>
    </row>
    <row r="41" spans="1:25">
      <c r="A41" s="181" t="s">
        <v>38</v>
      </c>
      <c r="B41" s="202">
        <v>1392</v>
      </c>
      <c r="C41" s="202">
        <v>4558</v>
      </c>
      <c r="D41" s="203">
        <v>3.2744252873563218</v>
      </c>
      <c r="E41" s="205">
        <v>0.97</v>
      </c>
      <c r="F41" s="202">
        <v>1352</v>
      </c>
      <c r="G41" s="202">
        <v>4346</v>
      </c>
      <c r="H41" s="204">
        <v>3.2144970414201182</v>
      </c>
      <c r="I41" s="202">
        <v>40</v>
      </c>
      <c r="J41" s="202">
        <v>212</v>
      </c>
      <c r="K41" s="204">
        <v>5.3</v>
      </c>
      <c r="L41" s="205">
        <f t="shared" si="8"/>
        <v>2.9585798816568046E-2</v>
      </c>
      <c r="M41" s="204">
        <f t="shared" si="3"/>
        <v>2.8735632183908046E-2</v>
      </c>
      <c r="N41" s="204">
        <f t="shared" si="9"/>
        <v>4.878048780487805E-2</v>
      </c>
      <c r="O41" s="181" t="s">
        <v>38</v>
      </c>
      <c r="P41" s="202">
        <v>59995</v>
      </c>
      <c r="Q41" s="202"/>
      <c r="R41" s="202"/>
      <c r="S41" s="202">
        <f>P41+Q41+R41</f>
        <v>59995</v>
      </c>
      <c r="T41" s="204">
        <f>(B41/S41)*100</f>
        <v>2.3201933494457871</v>
      </c>
      <c r="U41" s="204"/>
      <c r="V41" s="202">
        <v>42643</v>
      </c>
      <c r="W41" s="202"/>
      <c r="X41" s="202">
        <f t="shared" si="4"/>
        <v>42643</v>
      </c>
      <c r="Y41" s="204">
        <f>(B41/X41)*100</f>
        <v>3.2643106723260562</v>
      </c>
    </row>
    <row r="42" spans="1:25">
      <c r="A42" s="181" t="s">
        <v>39</v>
      </c>
      <c r="B42" s="202">
        <v>9628</v>
      </c>
      <c r="C42" s="202">
        <v>35484</v>
      </c>
      <c r="D42" s="203">
        <v>3.6855006231823846</v>
      </c>
      <c r="E42" s="205">
        <v>0.93</v>
      </c>
      <c r="F42" s="202">
        <v>4454</v>
      </c>
      <c r="G42" s="202">
        <v>15666</v>
      </c>
      <c r="H42" s="204">
        <v>3.5</v>
      </c>
      <c r="I42" s="202">
        <v>5174</v>
      </c>
      <c r="J42" s="202">
        <v>19818</v>
      </c>
      <c r="K42" s="204">
        <v>3.8</v>
      </c>
      <c r="L42" s="205">
        <f t="shared" si="8"/>
        <v>1.1616524472384373</v>
      </c>
      <c r="M42" s="204">
        <f t="shared" si="3"/>
        <v>0.53739094308267554</v>
      </c>
      <c r="N42" s="204">
        <f t="shared" si="9"/>
        <v>1.2650325545767904</v>
      </c>
      <c r="O42" s="181" t="s">
        <v>39</v>
      </c>
      <c r="P42" s="202">
        <v>108783</v>
      </c>
      <c r="Q42" s="202">
        <v>16608</v>
      </c>
      <c r="R42" s="202">
        <v>0</v>
      </c>
      <c r="S42" s="202">
        <f>P42+Q42+R42</f>
        <v>125391</v>
      </c>
      <c r="T42" s="204">
        <f>(B42/S42)*100</f>
        <v>7.6783820210381926</v>
      </c>
      <c r="U42" s="204"/>
      <c r="V42" s="202">
        <v>88275</v>
      </c>
      <c r="W42" s="202">
        <f>'[1]2012'!CJ29-('[1]2012'!K29*12)</f>
        <v>4860</v>
      </c>
      <c r="X42" s="202">
        <f t="shared" si="4"/>
        <v>93135</v>
      </c>
      <c r="Y42" s="204">
        <f>(B42/X42)*100</f>
        <v>10.337681859666075</v>
      </c>
    </row>
    <row r="43" spans="1:25">
      <c r="A43" s="181" t="s">
        <v>40</v>
      </c>
      <c r="B43" s="202">
        <v>168131</v>
      </c>
      <c r="C43" s="202">
        <v>629303</v>
      </c>
      <c r="D43" s="203">
        <v>3.7429325942271205</v>
      </c>
      <c r="E43" s="205">
        <v>0.86</v>
      </c>
      <c r="F43" s="202">
        <v>32624</v>
      </c>
      <c r="G43" s="202">
        <v>100259</v>
      </c>
      <c r="H43" s="204">
        <v>3.0731669936243255</v>
      </c>
      <c r="I43" s="202">
        <v>135507</v>
      </c>
      <c r="J43" s="202">
        <v>529044</v>
      </c>
      <c r="K43" s="204">
        <v>3.9041820717748901</v>
      </c>
      <c r="L43" s="205">
        <f t="shared" si="8"/>
        <v>4.1535985777341837</v>
      </c>
      <c r="M43" s="204">
        <f t="shared" si="3"/>
        <v>0.80596082816375325</v>
      </c>
      <c r="N43" s="204">
        <f t="shared" si="9"/>
        <v>5.276773157522018</v>
      </c>
      <c r="O43" s="181" t="s">
        <v>40</v>
      </c>
      <c r="P43" s="202">
        <v>400410</v>
      </c>
      <c r="Q43" s="202">
        <v>106254</v>
      </c>
      <c r="R43" s="202">
        <v>140131</v>
      </c>
      <c r="S43" s="202">
        <f>P43+Q43+R43</f>
        <v>646795</v>
      </c>
      <c r="T43" s="204">
        <f>(B43/S43)*100</f>
        <v>25.994480476812594</v>
      </c>
      <c r="U43" s="204">
        <f>(I43/R43)*100</f>
        <v>96.700230498604881</v>
      </c>
      <c r="V43" s="202">
        <v>339546</v>
      </c>
      <c r="W43" s="202">
        <f>'[1]2012'!CJ30-('[1]2012'!K30*12)</f>
        <v>83250</v>
      </c>
      <c r="X43" s="202">
        <f t="shared" si="4"/>
        <v>562927</v>
      </c>
      <c r="Y43" s="204">
        <f>(B43/X43)*100</f>
        <v>29.867282969194942</v>
      </c>
    </row>
    <row r="44" spans="1:25">
      <c r="A44" s="181" t="s">
        <v>41</v>
      </c>
      <c r="B44" s="202">
        <v>17764</v>
      </c>
      <c r="C44" s="202">
        <v>69645</v>
      </c>
      <c r="D44" s="203">
        <v>3.9205696915109209</v>
      </c>
      <c r="E44" s="205">
        <v>0.88</v>
      </c>
      <c r="F44" s="202">
        <v>7451</v>
      </c>
      <c r="G44" s="202">
        <v>23237</v>
      </c>
      <c r="H44" s="204">
        <v>3.1186417930479129</v>
      </c>
      <c r="I44" s="202">
        <v>10313</v>
      </c>
      <c r="J44" s="202">
        <v>46408</v>
      </c>
      <c r="K44" s="204">
        <v>4.4999515175021818</v>
      </c>
      <c r="L44" s="205">
        <f t="shared" si="8"/>
        <v>1.384109515501275</v>
      </c>
      <c r="M44" s="204">
        <f t="shared" si="3"/>
        <v>0.58055618104030626</v>
      </c>
      <c r="N44" s="204">
        <f t="shared" si="9"/>
        <v>1.997159702199079</v>
      </c>
      <c r="O44" s="181" t="s">
        <v>41</v>
      </c>
      <c r="P44" s="202">
        <v>327157</v>
      </c>
      <c r="Q44" s="202">
        <v>9982</v>
      </c>
      <c r="R44" s="202">
        <v>455</v>
      </c>
      <c r="S44" s="202">
        <f>P44+Q44+R44</f>
        <v>337594</v>
      </c>
      <c r="T44" s="204">
        <f>(B44/S44)*100</f>
        <v>5.2619418591562646</v>
      </c>
      <c r="U44" s="204">
        <f>(I44/R44)*100</f>
        <v>2266.5934065934066</v>
      </c>
      <c r="V44" s="202">
        <v>243961</v>
      </c>
      <c r="W44" s="202">
        <f>'[1]2012'!CJ31-('[1]2012'!K31*12)</f>
        <v>3982</v>
      </c>
      <c r="X44" s="202">
        <f t="shared" si="4"/>
        <v>248398</v>
      </c>
      <c r="Y44" s="204">
        <f>(B44/X44)*100</f>
        <v>7.1514263399866342</v>
      </c>
    </row>
    <row r="45" spans="1:25">
      <c r="A45" s="181" t="s">
        <v>42</v>
      </c>
      <c r="B45" s="202">
        <v>57402</v>
      </c>
      <c r="C45" s="202">
        <v>234305</v>
      </c>
      <c r="D45" s="203">
        <v>4.0818264171980072</v>
      </c>
      <c r="E45" s="205">
        <v>0.91</v>
      </c>
      <c r="F45" s="202">
        <v>20738</v>
      </c>
      <c r="G45" s="202">
        <v>81310</v>
      </c>
      <c r="H45" s="204">
        <v>3.9208216800077151</v>
      </c>
      <c r="I45" s="202">
        <v>36664</v>
      </c>
      <c r="J45" s="202">
        <v>153305</v>
      </c>
      <c r="K45" s="204">
        <v>4.1813495526947415</v>
      </c>
      <c r="L45" s="205">
        <f t="shared" si="8"/>
        <v>1.7679621950043398</v>
      </c>
      <c r="M45" s="204">
        <f t="shared" si="3"/>
        <v>0.6387233894289398</v>
      </c>
      <c r="N45" s="204">
        <f t="shared" si="9"/>
        <v>1.8854384454556634</v>
      </c>
      <c r="O45" s="181" t="s">
        <v>42</v>
      </c>
      <c r="P45" s="202">
        <v>573347</v>
      </c>
      <c r="Q45" s="202">
        <v>20417</v>
      </c>
      <c r="R45" s="202">
        <v>0</v>
      </c>
      <c r="S45" s="202">
        <f>P45+Q45+R45</f>
        <v>593764</v>
      </c>
      <c r="T45" s="204">
        <f>(B45/S45)*100</f>
        <v>9.6674773142191164</v>
      </c>
      <c r="U45" s="204"/>
      <c r="V45" s="202">
        <v>444287</v>
      </c>
      <c r="W45" s="202">
        <f>'[1]2012'!CJ32-('[1]2012'!K32*12)</f>
        <v>12953</v>
      </c>
      <c r="X45" s="202">
        <f t="shared" si="4"/>
        <v>457240</v>
      </c>
      <c r="Y45" s="204">
        <f>(B45/X45)*100</f>
        <v>12.554019770798705</v>
      </c>
    </row>
    <row r="46" spans="1:25">
      <c r="A46" s="181" t="s">
        <v>43</v>
      </c>
      <c r="B46" s="202">
        <v>2170</v>
      </c>
      <c r="C46" s="202">
        <v>7489</v>
      </c>
      <c r="D46" s="203">
        <v>3.451152073732719</v>
      </c>
      <c r="E46" s="205">
        <v>0.97</v>
      </c>
      <c r="F46" s="202">
        <v>1596</v>
      </c>
      <c r="G46" s="202">
        <v>5545</v>
      </c>
      <c r="H46" s="204">
        <v>3.4743107769423558</v>
      </c>
      <c r="I46" s="202">
        <v>574</v>
      </c>
      <c r="J46" s="202">
        <v>1944</v>
      </c>
      <c r="K46" s="204">
        <v>3.3867595818815333</v>
      </c>
      <c r="L46" s="205">
        <f t="shared" si="8"/>
        <v>0.35964912280701755</v>
      </c>
      <c r="M46" s="204">
        <f t="shared" si="3"/>
        <v>0.26451612903225807</v>
      </c>
      <c r="N46" s="204">
        <f t="shared" si="9"/>
        <v>0.35058611361587017</v>
      </c>
      <c r="O46" s="181" t="s">
        <v>43</v>
      </c>
      <c r="P46" s="202">
        <v>52492</v>
      </c>
      <c r="Q46" s="202"/>
      <c r="R46" s="202"/>
      <c r="S46" s="202">
        <f>P46+Q46+R46</f>
        <v>52492</v>
      </c>
      <c r="T46" s="204">
        <f>(B46/S46)*100</f>
        <v>4.1339632705936147</v>
      </c>
      <c r="U46" s="204"/>
      <c r="V46" s="202">
        <v>40384</v>
      </c>
      <c r="W46" s="202"/>
      <c r="X46" s="202">
        <f t="shared" si="4"/>
        <v>40384</v>
      </c>
      <c r="Y46" s="204">
        <f>(B46/X46)*100</f>
        <v>5.3734152139461173</v>
      </c>
    </row>
    <row r="47" spans="1:25">
      <c r="A47" s="181" t="s">
        <v>44</v>
      </c>
      <c r="B47" s="202">
        <v>8</v>
      </c>
      <c r="C47" s="202">
        <v>26</v>
      </c>
      <c r="D47" s="203">
        <v>3.25</v>
      </c>
      <c r="E47" s="205">
        <v>1</v>
      </c>
      <c r="F47" s="202">
        <v>5</v>
      </c>
      <c r="G47" s="202">
        <v>18</v>
      </c>
      <c r="H47" s="204">
        <v>3.6</v>
      </c>
      <c r="I47" s="202">
        <v>3</v>
      </c>
      <c r="J47" s="202">
        <v>8</v>
      </c>
      <c r="K47" s="204">
        <v>2.6666666666666665</v>
      </c>
      <c r="L47" s="205">
        <f t="shared" si="8"/>
        <v>0.6</v>
      </c>
      <c r="M47" s="204">
        <f t="shared" si="3"/>
        <v>0.375</v>
      </c>
      <c r="N47" s="204">
        <f t="shared" si="9"/>
        <v>0.44444444444444442</v>
      </c>
      <c r="O47" s="181" t="s">
        <v>44</v>
      </c>
      <c r="P47" s="202">
        <v>10390</v>
      </c>
      <c r="Q47" s="202"/>
      <c r="R47" s="202"/>
      <c r="S47" s="202">
        <f>P47+Q47+R47</f>
        <v>10390</v>
      </c>
      <c r="T47" s="204">
        <f>(B47/S47)*100</f>
        <v>7.6997112608277185E-2</v>
      </c>
      <c r="U47" s="204"/>
      <c r="V47" s="202">
        <v>7942</v>
      </c>
      <c r="W47" s="202"/>
      <c r="X47" s="202">
        <f t="shared" si="4"/>
        <v>7942</v>
      </c>
      <c r="Y47" s="204">
        <f>(B47/X47)*100</f>
        <v>0.1007302946361118</v>
      </c>
    </row>
    <row r="48" spans="1:25">
      <c r="A48" s="181" t="s">
        <v>45</v>
      </c>
      <c r="B48" s="202">
        <v>289</v>
      </c>
      <c r="C48" s="202">
        <v>1067</v>
      </c>
      <c r="D48" s="203">
        <v>3.6920415224913494</v>
      </c>
      <c r="E48" s="205">
        <v>1</v>
      </c>
      <c r="F48" s="202">
        <v>192</v>
      </c>
      <c r="G48" s="202">
        <v>734</v>
      </c>
      <c r="H48" s="204">
        <v>3.8229166666666665</v>
      </c>
      <c r="I48" s="202">
        <v>97</v>
      </c>
      <c r="J48" s="202">
        <v>333</v>
      </c>
      <c r="K48" s="204">
        <v>3.4329896907216493</v>
      </c>
      <c r="L48" s="205">
        <f t="shared" si="8"/>
        <v>0.50520833333333337</v>
      </c>
      <c r="M48" s="204">
        <f t="shared" si="3"/>
        <v>0.33564013840830448</v>
      </c>
      <c r="N48" s="204">
        <f t="shared" si="9"/>
        <v>0.4536784741144414</v>
      </c>
      <c r="O48" s="181" t="s">
        <v>45</v>
      </c>
      <c r="P48" s="202">
        <v>9181</v>
      </c>
      <c r="Q48" s="202"/>
      <c r="R48" s="202"/>
      <c r="S48" s="202">
        <f>P48+Q48+R48</f>
        <v>9181</v>
      </c>
      <c r="T48" s="204">
        <f>(B48/S48)*100</f>
        <v>3.1478052499727696</v>
      </c>
      <c r="U48" s="204"/>
      <c r="V48" s="202">
        <v>7633</v>
      </c>
      <c r="W48" s="202"/>
      <c r="X48" s="202">
        <f t="shared" si="4"/>
        <v>7633</v>
      </c>
      <c r="Y48" s="204">
        <f>(B48/X48)*100</f>
        <v>3.7861915367483299</v>
      </c>
    </row>
    <row r="49" spans="1:25">
      <c r="A49" s="181" t="s">
        <v>46</v>
      </c>
      <c r="B49" s="202">
        <v>6059</v>
      </c>
      <c r="C49" s="202">
        <v>19636</v>
      </c>
      <c r="D49" s="203">
        <v>3.2407988116850968</v>
      </c>
      <c r="E49" s="205">
        <v>0.93</v>
      </c>
      <c r="F49" s="202">
        <v>3824</v>
      </c>
      <c r="G49" s="202">
        <v>11484</v>
      </c>
      <c r="H49" s="204">
        <v>3.0031380753138075</v>
      </c>
      <c r="I49" s="202">
        <v>2235</v>
      </c>
      <c r="J49" s="202">
        <v>8152</v>
      </c>
      <c r="K49" s="204">
        <v>3.6474272930648768</v>
      </c>
      <c r="L49" s="205">
        <f t="shared" si="8"/>
        <v>0.58446652719665271</v>
      </c>
      <c r="M49" s="204">
        <f t="shared" si="3"/>
        <v>0.36887275127908897</v>
      </c>
      <c r="N49" s="204">
        <f t="shared" si="9"/>
        <v>0.70985719261581326</v>
      </c>
      <c r="O49" s="181" t="s">
        <v>46</v>
      </c>
      <c r="P49" s="202">
        <v>86126</v>
      </c>
      <c r="Q49" s="202"/>
      <c r="R49" s="202"/>
      <c r="S49" s="202">
        <f>P49+Q49+R49</f>
        <v>86126</v>
      </c>
      <c r="T49" s="204">
        <f>(B49/S49)*100</f>
        <v>7.035041683115435</v>
      </c>
      <c r="U49" s="204"/>
      <c r="V49" s="202">
        <v>72086</v>
      </c>
      <c r="W49" s="202"/>
      <c r="X49" s="202">
        <f t="shared" si="4"/>
        <v>72086</v>
      </c>
      <c r="Y49" s="204">
        <f>(B49/X49)*100</f>
        <v>8.405238187720224</v>
      </c>
    </row>
    <row r="50" spans="1:25">
      <c r="A50" s="181" t="s">
        <v>47</v>
      </c>
      <c r="B50" s="202">
        <v>19951</v>
      </c>
      <c r="C50" s="202">
        <v>59657</v>
      </c>
      <c r="D50" s="203">
        <v>2.9901759310310259</v>
      </c>
      <c r="E50" s="205">
        <v>0.83</v>
      </c>
      <c r="F50" s="202">
        <v>15006</v>
      </c>
      <c r="G50" s="202">
        <v>45219</v>
      </c>
      <c r="H50" s="204">
        <v>3.0133946421431426</v>
      </c>
      <c r="I50" s="202">
        <v>4945</v>
      </c>
      <c r="J50" s="202">
        <v>14438</v>
      </c>
      <c r="K50" s="204">
        <v>2.919716885743175</v>
      </c>
      <c r="L50" s="205">
        <f t="shared" si="8"/>
        <v>0.32953485272557642</v>
      </c>
      <c r="M50" s="204">
        <f t="shared" si="3"/>
        <v>0.2478572502631447</v>
      </c>
      <c r="N50" s="204">
        <f t="shared" si="9"/>
        <v>0.31929056370109909</v>
      </c>
      <c r="O50" s="181" t="s">
        <v>47</v>
      </c>
      <c r="P50" s="202">
        <v>285969</v>
      </c>
      <c r="Q50" s="202">
        <v>4818</v>
      </c>
      <c r="R50" s="202">
        <v>0</v>
      </c>
      <c r="S50" s="202">
        <f>P50+Q50+R50</f>
        <v>290787</v>
      </c>
      <c r="T50" s="204">
        <f>(B50/S50)*100</f>
        <v>6.8610357409375249</v>
      </c>
      <c r="U50" s="204"/>
      <c r="V50" s="202">
        <v>146721</v>
      </c>
      <c r="W50" s="202">
        <f>'[1]2012'!CJ33-('[1]2012'!K33*12)</f>
        <v>990</v>
      </c>
      <c r="X50" s="202">
        <f t="shared" si="4"/>
        <v>147711</v>
      </c>
      <c r="Y50" s="204">
        <f>(B50/X50)*100</f>
        <v>13.506780131472942</v>
      </c>
    </row>
    <row r="51" spans="1:25">
      <c r="A51" s="181" t="s">
        <v>48</v>
      </c>
      <c r="B51" s="202">
        <v>42822</v>
      </c>
      <c r="C51" s="202">
        <v>95519</v>
      </c>
      <c r="D51" s="203">
        <v>2.2306057633926488</v>
      </c>
      <c r="E51" s="205">
        <v>0.86</v>
      </c>
      <c r="F51" s="202">
        <v>39941</v>
      </c>
      <c r="G51" s="202">
        <v>87199</v>
      </c>
      <c r="H51" s="204">
        <v>2.183195212939085</v>
      </c>
      <c r="I51" s="202">
        <v>2881</v>
      </c>
      <c r="J51" s="202">
        <v>8320</v>
      </c>
      <c r="K51" s="204">
        <v>2.8878861506421383</v>
      </c>
      <c r="L51" s="205">
        <f t="shared" si="8"/>
        <v>7.2131393805863656E-2</v>
      </c>
      <c r="M51" s="204">
        <f t="shared" si="3"/>
        <v>6.7278501704731208E-2</v>
      </c>
      <c r="N51" s="204">
        <f t="shared" si="9"/>
        <v>9.5413938233236614E-2</v>
      </c>
      <c r="O51" s="181" t="s">
        <v>48</v>
      </c>
      <c r="P51" s="202">
        <v>410321</v>
      </c>
      <c r="Q51" s="202"/>
      <c r="R51" s="202"/>
      <c r="S51" s="202">
        <f>P51+Q51+R51</f>
        <v>410321</v>
      </c>
      <c r="T51" s="204">
        <f>(B51/S51)*100</f>
        <v>10.436219447700703</v>
      </c>
      <c r="U51" s="204"/>
      <c r="V51" s="202">
        <v>329081</v>
      </c>
      <c r="W51" s="202"/>
      <c r="X51" s="202">
        <f t="shared" si="4"/>
        <v>329081</v>
      </c>
      <c r="Y51" s="204">
        <f>(B51/X51)*100</f>
        <v>13.01260176066075</v>
      </c>
    </row>
    <row r="52" spans="1:25">
      <c r="A52" s="181" t="s">
        <v>49</v>
      </c>
      <c r="B52" s="202">
        <v>3066</v>
      </c>
      <c r="C52" s="202">
        <v>13851</v>
      </c>
      <c r="D52" s="203">
        <v>4.5176125244618399</v>
      </c>
      <c r="E52" s="205">
        <v>0.99</v>
      </c>
      <c r="F52" s="202">
        <v>1037</v>
      </c>
      <c r="G52" s="202">
        <v>6830</v>
      </c>
      <c r="H52" s="204">
        <v>6.5863066538090642</v>
      </c>
      <c r="I52" s="202">
        <v>2029</v>
      </c>
      <c r="J52" s="202">
        <v>7021</v>
      </c>
      <c r="K52" s="204">
        <v>3.4603252833908331</v>
      </c>
      <c r="L52" s="205">
        <f t="shared" si="8"/>
        <v>1.9566055930568949</v>
      </c>
      <c r="M52" s="204">
        <f t="shared" si="3"/>
        <v>0.66177429876060012</v>
      </c>
      <c r="N52" s="204">
        <f t="shared" si="9"/>
        <v>1.0279648609077598</v>
      </c>
      <c r="O52" s="181" t="s">
        <v>49</v>
      </c>
      <c r="P52" s="202">
        <v>34066</v>
      </c>
      <c r="Q52" s="202"/>
      <c r="R52" s="202"/>
      <c r="S52" s="202">
        <f>P52+Q52+R52</f>
        <v>34066</v>
      </c>
      <c r="T52" s="204">
        <f>(B52/S52)*100</f>
        <v>9.0001761286913631</v>
      </c>
      <c r="U52" s="204"/>
      <c r="V52" s="202">
        <v>31090</v>
      </c>
      <c r="W52" s="202"/>
      <c r="X52" s="202">
        <f t="shared" si="4"/>
        <v>31090</v>
      </c>
      <c r="Y52" s="204">
        <f>(B52/X52)*100</f>
        <v>9.8616918623351566</v>
      </c>
    </row>
    <row r="53" spans="1:25">
      <c r="V53" s="188"/>
    </row>
    <row r="56" spans="1:25">
      <c r="A56" s="229" t="s">
        <v>189</v>
      </c>
      <c r="B56" s="230"/>
      <c r="C56" s="230"/>
      <c r="D56" s="231"/>
      <c r="E56" s="229"/>
      <c r="F56" s="230"/>
      <c r="G56" s="230"/>
      <c r="H56" s="232"/>
      <c r="I56" s="229" t="s">
        <v>189</v>
      </c>
      <c r="J56" s="229"/>
      <c r="K56" s="231"/>
      <c r="L56" s="229"/>
      <c r="N56" s="229"/>
      <c r="O56" s="229" t="s">
        <v>189</v>
      </c>
      <c r="P56" s="229"/>
      <c r="Q56" s="194"/>
      <c r="R56" s="194"/>
      <c r="S56" s="194"/>
      <c r="T56" s="194"/>
      <c r="U56" s="194"/>
      <c r="V56" s="194"/>
      <c r="W56" s="194"/>
      <c r="X56" s="194"/>
      <c r="Y56" s="194"/>
    </row>
    <row r="57" spans="1:25" ht="61.5" customHeight="1">
      <c r="A57" s="243" t="s">
        <v>58</v>
      </c>
      <c r="B57" s="234" t="s">
        <v>300</v>
      </c>
      <c r="C57" s="234" t="s">
        <v>301</v>
      </c>
      <c r="D57" s="235" t="s">
        <v>302</v>
      </c>
      <c r="E57" s="233" t="s">
        <v>303</v>
      </c>
      <c r="F57" s="236" t="s">
        <v>59</v>
      </c>
      <c r="G57" s="236" t="s">
        <v>60</v>
      </c>
      <c r="H57" s="237" t="s">
        <v>61</v>
      </c>
      <c r="I57" s="238" t="s">
        <v>62</v>
      </c>
      <c r="J57" s="238" t="s">
        <v>63</v>
      </c>
      <c r="K57" s="239" t="s">
        <v>64</v>
      </c>
      <c r="L57" s="240" t="s">
        <v>65</v>
      </c>
      <c r="M57" s="240" t="s">
        <v>191</v>
      </c>
      <c r="N57" s="240" t="s">
        <v>66</v>
      </c>
      <c r="O57" s="172" t="s">
        <v>58</v>
      </c>
      <c r="P57" s="249" t="s">
        <v>304</v>
      </c>
      <c r="Q57" s="189" t="s">
        <v>305</v>
      </c>
      <c r="R57" s="189" t="s">
        <v>122</v>
      </c>
      <c r="S57" s="189" t="s">
        <v>67</v>
      </c>
      <c r="T57" s="189" t="s">
        <v>68</v>
      </c>
      <c r="U57" s="189" t="s">
        <v>69</v>
      </c>
      <c r="V57" s="189" t="s">
        <v>297</v>
      </c>
      <c r="W57" s="189" t="s">
        <v>298</v>
      </c>
      <c r="X57" s="189" t="s">
        <v>70</v>
      </c>
      <c r="Y57" s="189" t="s">
        <v>71</v>
      </c>
    </row>
    <row r="58" spans="1:25">
      <c r="A58" s="191" t="s">
        <v>56</v>
      </c>
      <c r="B58" s="206">
        <f>SUM(B59:B67)</f>
        <v>401790</v>
      </c>
      <c r="C58" s="206">
        <f>SUM(C59:C67)</f>
        <v>2008693.199</v>
      </c>
      <c r="D58" s="207">
        <f t="shared" ref="D58" si="10">C58/B58</f>
        <v>4.999360857661963</v>
      </c>
      <c r="E58" s="208">
        <v>0.42027178376763979</v>
      </c>
      <c r="F58" s="206">
        <f t="shared" ref="F58:I58" si="11">SUM(F59:F67)</f>
        <v>138263</v>
      </c>
      <c r="G58" s="206">
        <f>SUM(G59:G67)</f>
        <v>467553</v>
      </c>
      <c r="H58" s="209">
        <f>G58/F58</f>
        <v>3.3816205347779231</v>
      </c>
      <c r="I58" s="206">
        <f t="shared" si="11"/>
        <v>263527</v>
      </c>
      <c r="J58" s="206">
        <f>SUM(J59:J67)</f>
        <v>1538153</v>
      </c>
      <c r="K58" s="209">
        <f t="shared" ref="K58:K107" si="12">J58/I58</f>
        <v>5.8367947117373173</v>
      </c>
      <c r="L58" s="192">
        <f t="shared" ref="L58:L107" si="13">I58/F58</f>
        <v>1.9059835241532441</v>
      </c>
      <c r="M58" s="210">
        <f>I58/B58</f>
        <v>0.65588242614301007</v>
      </c>
      <c r="N58" s="192">
        <f t="shared" ref="N58:N107" si="14">J58/G58</f>
        <v>3.2897938843296908</v>
      </c>
      <c r="O58" s="191" t="s">
        <v>56</v>
      </c>
      <c r="P58" s="241">
        <f>SUM(P59:P67)</f>
        <v>635291</v>
      </c>
      <c r="Q58" s="211">
        <f t="shared" ref="Q58:R58" si="15">SUM(Q59:Q67)</f>
        <v>436604</v>
      </c>
      <c r="R58" s="211">
        <f t="shared" si="15"/>
        <v>204080</v>
      </c>
      <c r="S58" s="211">
        <f>SUM(S59:S67)</f>
        <v>1275975</v>
      </c>
      <c r="T58" s="212">
        <f>(B58/S58)*100</f>
        <v>31.488861458884383</v>
      </c>
      <c r="U58" s="213">
        <f>(I58/R58)*100</f>
        <v>129.12926303410427</v>
      </c>
      <c r="V58" s="211">
        <f t="shared" ref="V58:W58" si="16">SUM(V59:V67)</f>
        <v>314055</v>
      </c>
      <c r="W58" s="211">
        <f t="shared" si="16"/>
        <v>104164</v>
      </c>
      <c r="X58" s="211">
        <f>SUM(V58:W58)</f>
        <v>418219</v>
      </c>
      <c r="Y58" s="213">
        <f>(B58/X58)*100</f>
        <v>96.071675366255477</v>
      </c>
    </row>
    <row r="59" spans="1:25">
      <c r="A59" s="181" t="s">
        <v>1</v>
      </c>
      <c r="B59" s="214"/>
      <c r="C59" s="214"/>
      <c r="D59" s="214"/>
      <c r="E59" s="214"/>
      <c r="F59" s="214"/>
      <c r="G59" s="214"/>
      <c r="H59" s="215"/>
      <c r="I59" s="214"/>
      <c r="J59" s="214"/>
      <c r="K59" s="215"/>
      <c r="L59" s="214"/>
      <c r="M59" s="214"/>
      <c r="N59" s="214"/>
      <c r="O59" s="181" t="s">
        <v>1</v>
      </c>
      <c r="P59" s="216">
        <v>7220</v>
      </c>
      <c r="Q59" s="202"/>
      <c r="R59" s="202"/>
      <c r="S59" s="202">
        <f>P59+Q59+R59</f>
        <v>7220</v>
      </c>
      <c r="T59" s="212">
        <f>(B59/S59)*100</f>
        <v>0</v>
      </c>
      <c r="U59" s="212"/>
      <c r="V59" s="202">
        <v>3704</v>
      </c>
      <c r="W59" s="202"/>
      <c r="X59" s="202">
        <f t="shared" ref="X59:X107" si="17">SUM(V59:W59)</f>
        <v>3704</v>
      </c>
      <c r="Y59" s="212">
        <f>(B59/X59)*100</f>
        <v>0</v>
      </c>
    </row>
    <row r="60" spans="1:25">
      <c r="A60" s="181" t="s">
        <v>2</v>
      </c>
      <c r="B60" s="216">
        <v>119220</v>
      </c>
      <c r="C60" s="216">
        <v>551146</v>
      </c>
      <c r="D60" s="217">
        <f>C60/B60</f>
        <v>4.6229323938936417</v>
      </c>
      <c r="E60" s="194"/>
      <c r="F60" s="216">
        <v>50514</v>
      </c>
      <c r="G60" s="216">
        <v>139863</v>
      </c>
      <c r="H60" s="218">
        <f t="shared" ref="H60:H107" si="18">G60/F60</f>
        <v>2.7687967692124955</v>
      </c>
      <c r="I60" s="216">
        <v>68706</v>
      </c>
      <c r="J60" s="216">
        <v>411283</v>
      </c>
      <c r="K60" s="218">
        <f t="shared" si="12"/>
        <v>5.986129304573109</v>
      </c>
      <c r="L60" s="178">
        <f t="shared" si="13"/>
        <v>1.3601377835847488</v>
      </c>
      <c r="M60" s="219">
        <f>I60/B60</f>
        <v>0.57629592350276804</v>
      </c>
      <c r="N60" s="178">
        <f t="shared" si="14"/>
        <v>2.9406133144577193</v>
      </c>
      <c r="O60" s="181" t="s">
        <v>2</v>
      </c>
      <c r="P60" s="216">
        <v>158305</v>
      </c>
      <c r="Q60" s="202">
        <v>175300</v>
      </c>
      <c r="R60" s="202">
        <v>58387</v>
      </c>
      <c r="S60" s="202">
        <f>P60+Q60+R60</f>
        <v>391992</v>
      </c>
      <c r="T60" s="212">
        <f>(B60/S60)*100</f>
        <v>30.413885997673422</v>
      </c>
      <c r="U60" s="212">
        <f>(I60/R60)*100</f>
        <v>117.67345470738348</v>
      </c>
      <c r="V60" s="202">
        <v>79797</v>
      </c>
      <c r="W60" s="202">
        <v>33980</v>
      </c>
      <c r="X60" s="202">
        <f t="shared" si="17"/>
        <v>113777</v>
      </c>
      <c r="Y60" s="212">
        <f>(B60/X60)*100</f>
        <v>104.78391942132417</v>
      </c>
    </row>
    <row r="61" spans="1:25">
      <c r="A61" s="181" t="s">
        <v>3</v>
      </c>
      <c r="B61" s="216">
        <v>34123</v>
      </c>
      <c r="C61" s="216">
        <v>177566</v>
      </c>
      <c r="D61" s="217">
        <f t="shared" ref="D61:D107" si="19">C61/B61</f>
        <v>5.2037042464027197</v>
      </c>
      <c r="E61" s="194"/>
      <c r="F61" s="216">
        <v>16867</v>
      </c>
      <c r="G61" s="216">
        <v>59346</v>
      </c>
      <c r="H61" s="218">
        <f t="shared" si="18"/>
        <v>3.5184680144661171</v>
      </c>
      <c r="I61" s="216">
        <v>17256</v>
      </c>
      <c r="J61" s="216">
        <v>118220</v>
      </c>
      <c r="K61" s="218">
        <f t="shared" si="12"/>
        <v>6.8509503940658325</v>
      </c>
      <c r="L61" s="178">
        <f t="shared" si="13"/>
        <v>1.0230627853204481</v>
      </c>
      <c r="M61" s="219">
        <f t="shared" ref="M61:M107" si="20">I61/B61</f>
        <v>0.50569996776367843</v>
      </c>
      <c r="N61" s="178">
        <f t="shared" si="14"/>
        <v>1.9920466417281704</v>
      </c>
      <c r="O61" s="181" t="s">
        <v>3</v>
      </c>
      <c r="P61" s="216">
        <v>100316</v>
      </c>
      <c r="Q61" s="202">
        <v>41226</v>
      </c>
      <c r="R61" s="202">
        <v>9587</v>
      </c>
      <c r="S61" s="202">
        <f>P61+Q61+R61</f>
        <v>151129</v>
      </c>
      <c r="T61" s="212">
        <f>(B61/S61)*100</f>
        <v>22.578724136333861</v>
      </c>
      <c r="U61" s="212">
        <f>(I61/R61)*100</f>
        <v>179.99374152498174</v>
      </c>
      <c r="V61" s="202">
        <v>59604</v>
      </c>
      <c r="W61" s="202">
        <v>14446</v>
      </c>
      <c r="X61" s="202">
        <f t="shared" si="17"/>
        <v>74050</v>
      </c>
      <c r="Y61" s="212">
        <f>(B61/X61)*100</f>
        <v>46.081026333558405</v>
      </c>
    </row>
    <row r="62" spans="1:25">
      <c r="A62" s="181" t="s">
        <v>4</v>
      </c>
      <c r="B62" s="220">
        <v>11929.16</v>
      </c>
      <c r="C62" s="216">
        <v>45956.6</v>
      </c>
      <c r="D62" s="217">
        <f t="shared" si="19"/>
        <v>3.8524590163934427</v>
      </c>
      <c r="E62" s="194"/>
      <c r="F62" s="220">
        <v>8143.1184000000003</v>
      </c>
      <c r="G62" s="220">
        <v>29270.442999999999</v>
      </c>
      <c r="H62" s="218">
        <f t="shared" si="18"/>
        <v>3.5945004803073966</v>
      </c>
      <c r="I62" s="220">
        <v>3786.0416</v>
      </c>
      <c r="J62" s="220">
        <v>16686.156999999999</v>
      </c>
      <c r="K62" s="218">
        <f t="shared" si="12"/>
        <v>4.4072830578512399</v>
      </c>
      <c r="L62" s="178">
        <f t="shared" si="13"/>
        <v>0.46493756003842457</v>
      </c>
      <c r="M62" s="219">
        <f t="shared" si="20"/>
        <v>0.31737704918032789</v>
      </c>
      <c r="N62" s="178">
        <f t="shared" si="14"/>
        <v>0.5700684817103725</v>
      </c>
      <c r="O62" s="181" t="s">
        <v>4</v>
      </c>
      <c r="P62" s="216">
        <v>74592</v>
      </c>
      <c r="Q62" s="202">
        <v>22717</v>
      </c>
      <c r="R62" s="202">
        <v>0</v>
      </c>
      <c r="S62" s="202">
        <f>P62+Q62+R62</f>
        <v>97309</v>
      </c>
      <c r="T62" s="212">
        <f>(B62/S62)*100</f>
        <v>12.259051064135896</v>
      </c>
      <c r="U62" s="212"/>
      <c r="V62" s="202">
        <v>47664</v>
      </c>
      <c r="W62" s="202">
        <v>12333</v>
      </c>
      <c r="X62" s="202">
        <f t="shared" si="17"/>
        <v>59997</v>
      </c>
      <c r="Y62" s="212">
        <f>(B62/X62)*100</f>
        <v>19.88292747970732</v>
      </c>
    </row>
    <row r="63" spans="1:25">
      <c r="A63" s="181" t="s">
        <v>5</v>
      </c>
      <c r="B63" s="220">
        <v>270.84000000000003</v>
      </c>
      <c r="C63" s="220">
        <v>1043.4000000000001</v>
      </c>
      <c r="D63" s="217">
        <f t="shared" si="19"/>
        <v>3.8524590163934427</v>
      </c>
      <c r="E63" s="194"/>
      <c r="F63" s="220">
        <v>184.88160000000002</v>
      </c>
      <c r="G63" s="220">
        <v>664.55700000000002</v>
      </c>
      <c r="H63" s="218">
        <f t="shared" si="18"/>
        <v>3.5945004803073966</v>
      </c>
      <c r="I63" s="220">
        <v>85.958399999999997</v>
      </c>
      <c r="J63" s="220">
        <v>378.84300000000002</v>
      </c>
      <c r="K63" s="218">
        <f t="shared" si="12"/>
        <v>4.4072830578512399</v>
      </c>
      <c r="L63" s="178">
        <f t="shared" si="13"/>
        <v>0.46493756003842451</v>
      </c>
      <c r="M63" s="219">
        <f t="shared" si="20"/>
        <v>0.31737704918032783</v>
      </c>
      <c r="N63" s="178">
        <f t="shared" si="14"/>
        <v>0.5700684817103725</v>
      </c>
      <c r="O63" s="181" t="s">
        <v>5</v>
      </c>
      <c r="P63" s="216">
        <v>8739</v>
      </c>
      <c r="Q63" s="202"/>
      <c r="R63" s="202"/>
      <c r="S63" s="202">
        <f>P63+Q63+R63</f>
        <v>8739</v>
      </c>
      <c r="T63" s="212">
        <f>(B63/S63)*100</f>
        <v>3.0992104359766568</v>
      </c>
      <c r="U63" s="212"/>
      <c r="V63" s="202">
        <v>4551</v>
      </c>
      <c r="W63" s="202"/>
      <c r="X63" s="202">
        <f t="shared" si="17"/>
        <v>4551</v>
      </c>
      <c r="Y63" s="212">
        <f>(B63/X63)*100</f>
        <v>5.9512195121951228</v>
      </c>
    </row>
    <row r="64" spans="1:25">
      <c r="A64" s="181" t="s">
        <v>6</v>
      </c>
      <c r="B64" s="216">
        <v>175721</v>
      </c>
      <c r="C64" s="216">
        <v>1045599</v>
      </c>
      <c r="D64" s="217">
        <f t="shared" si="19"/>
        <v>5.9503360440698607</v>
      </c>
      <c r="E64" s="194"/>
      <c r="F64" s="216">
        <v>32223</v>
      </c>
      <c r="G64" s="216">
        <v>148040</v>
      </c>
      <c r="H64" s="218">
        <f t="shared" si="18"/>
        <v>4.5942339322843928</v>
      </c>
      <c r="I64" s="216">
        <v>143498</v>
      </c>
      <c r="J64" s="216">
        <v>897559</v>
      </c>
      <c r="K64" s="218">
        <f t="shared" si="12"/>
        <v>6.2548537261843373</v>
      </c>
      <c r="L64" s="178">
        <f t="shared" si="13"/>
        <v>4.4532787139620771</v>
      </c>
      <c r="M64" s="219">
        <f t="shared" si="20"/>
        <v>0.81662408021807298</v>
      </c>
      <c r="N64" s="178">
        <f t="shared" si="14"/>
        <v>6.06294920291813</v>
      </c>
      <c r="O64" s="181" t="s">
        <v>6</v>
      </c>
      <c r="P64" s="216">
        <v>97021</v>
      </c>
      <c r="Q64" s="202">
        <v>81857</v>
      </c>
      <c r="R64" s="202">
        <v>135309</v>
      </c>
      <c r="S64" s="202">
        <f>P64+Q64+R64</f>
        <v>314187</v>
      </c>
      <c r="T64" s="212">
        <f>(B64/S64)*100</f>
        <v>55.928793998478611</v>
      </c>
      <c r="U64" s="212">
        <f>(I64/R64)*100</f>
        <v>106.05207340236052</v>
      </c>
      <c r="V64" s="202">
        <v>41985</v>
      </c>
      <c r="W64" s="202">
        <v>17493</v>
      </c>
      <c r="X64" s="202">
        <f t="shared" si="17"/>
        <v>59478</v>
      </c>
      <c r="Y64" s="212">
        <f>(B64/X64)*100</f>
        <v>295.43864958472039</v>
      </c>
    </row>
    <row r="65" spans="1:25">
      <c r="A65" s="181" t="s">
        <v>7</v>
      </c>
      <c r="B65" s="220">
        <v>59531.737055500002</v>
      </c>
      <c r="C65" s="216">
        <v>184395</v>
      </c>
      <c r="D65" s="217">
        <f t="shared" si="19"/>
        <v>3.0974234772973781</v>
      </c>
      <c r="E65" s="194"/>
      <c r="F65" s="220">
        <v>29839.6378</v>
      </c>
      <c r="G65" s="220">
        <v>88905.022200000007</v>
      </c>
      <c r="H65" s="218">
        <f t="shared" si="18"/>
        <v>2.9794269888892555</v>
      </c>
      <c r="I65" s="220">
        <v>29692.099255500001</v>
      </c>
      <c r="J65" s="220">
        <v>92502.7788</v>
      </c>
      <c r="K65" s="218">
        <f t="shared" si="12"/>
        <v>3.1154004303978371</v>
      </c>
      <c r="L65" s="178">
        <f t="shared" si="13"/>
        <v>0.99505561878837556</v>
      </c>
      <c r="M65" s="219">
        <f t="shared" si="20"/>
        <v>0.49876084126049897</v>
      </c>
      <c r="N65" s="178">
        <f t="shared" si="14"/>
        <v>1.0404674169239452</v>
      </c>
      <c r="O65" s="181" t="s">
        <v>7</v>
      </c>
      <c r="P65" s="216">
        <v>161419</v>
      </c>
      <c r="Q65" s="202">
        <v>115504</v>
      </c>
      <c r="R65" s="202">
        <v>797</v>
      </c>
      <c r="S65" s="202">
        <f>P65+Q65+R65</f>
        <v>277720</v>
      </c>
      <c r="T65" s="212">
        <f>(B65/S65)*100</f>
        <v>21.435884003852802</v>
      </c>
      <c r="U65" s="212">
        <f>(I65/R65)*100</f>
        <v>3725.4829680677544</v>
      </c>
      <c r="V65" s="202">
        <v>65399</v>
      </c>
      <c r="W65" s="202">
        <v>25912</v>
      </c>
      <c r="X65" s="202">
        <f t="shared" si="17"/>
        <v>91311</v>
      </c>
      <c r="Y65" s="212">
        <f>(B65/X65)*100</f>
        <v>65.196676255325215</v>
      </c>
    </row>
    <row r="66" spans="1:25">
      <c r="A66" s="181" t="s">
        <v>8</v>
      </c>
      <c r="B66" s="214"/>
      <c r="C66" s="214"/>
      <c r="D66" s="214"/>
      <c r="E66" s="214"/>
      <c r="F66" s="214"/>
      <c r="G66" s="214"/>
      <c r="H66" s="215"/>
      <c r="I66" s="214"/>
      <c r="J66" s="214"/>
      <c r="K66" s="215"/>
      <c r="L66" s="214"/>
      <c r="M66" s="214"/>
      <c r="N66" s="214"/>
      <c r="O66" s="181" t="s">
        <v>8</v>
      </c>
      <c r="P66" s="216">
        <v>19457</v>
      </c>
      <c r="Q66" s="202"/>
      <c r="R66" s="202"/>
      <c r="S66" s="202">
        <f>P66+Q66+R66</f>
        <v>19457</v>
      </c>
      <c r="T66" s="212">
        <f>(B66/S66)*100</f>
        <v>0</v>
      </c>
      <c r="U66" s="212"/>
      <c r="V66" s="202">
        <v>6741</v>
      </c>
      <c r="W66" s="202"/>
      <c r="X66" s="202">
        <f t="shared" si="17"/>
        <v>6741</v>
      </c>
      <c r="Y66" s="212">
        <f>(B66/X66)*100</f>
        <v>0</v>
      </c>
    </row>
    <row r="67" spans="1:25">
      <c r="A67" s="181" t="s">
        <v>9</v>
      </c>
      <c r="B67" s="220">
        <v>994.2629445</v>
      </c>
      <c r="C67" s="220">
        <v>2987.1989999999996</v>
      </c>
      <c r="D67" s="217">
        <f t="shared" si="19"/>
        <v>3.0044356138629076</v>
      </c>
      <c r="E67" s="220"/>
      <c r="F67" s="220">
        <v>491.36219999999997</v>
      </c>
      <c r="G67" s="220">
        <v>1463.9777999999999</v>
      </c>
      <c r="H67" s="218">
        <f t="shared" si="18"/>
        <v>2.9794269888892551</v>
      </c>
      <c r="I67" s="220">
        <v>502.90074449999997</v>
      </c>
      <c r="J67" s="220">
        <v>1523.2212</v>
      </c>
      <c r="K67" s="218">
        <f t="shared" si="12"/>
        <v>3.028870441451494</v>
      </c>
      <c r="L67" s="178">
        <f t="shared" si="13"/>
        <v>1.0234827679052234</v>
      </c>
      <c r="M67" s="219">
        <f t="shared" si="20"/>
        <v>0.50580256186948735</v>
      </c>
      <c r="N67" s="178">
        <f t="shared" si="14"/>
        <v>1.0404674169239452</v>
      </c>
      <c r="O67" s="181" t="s">
        <v>9</v>
      </c>
      <c r="P67" s="216">
        <v>8222</v>
      </c>
      <c r="Q67" s="202"/>
      <c r="R67" s="202"/>
      <c r="S67" s="202">
        <f>P67+Q67+R67</f>
        <v>8222</v>
      </c>
      <c r="T67" s="212">
        <f>(B67/S67)*100</f>
        <v>12.092713992945756</v>
      </c>
      <c r="U67" s="212"/>
      <c r="V67" s="202">
        <v>4610</v>
      </c>
      <c r="W67" s="202"/>
      <c r="X67" s="202">
        <f t="shared" si="17"/>
        <v>4610</v>
      </c>
      <c r="Y67" s="212">
        <f>(B67/X67)*100</f>
        <v>21.567525911062909</v>
      </c>
    </row>
    <row r="68" spans="1:25">
      <c r="A68" s="185" t="s">
        <v>57</v>
      </c>
      <c r="B68" s="221">
        <f>SUM(B69:B107)</f>
        <v>5631486.3692499995</v>
      </c>
      <c r="C68" s="221">
        <f>SUM(C69:C107)</f>
        <v>31078851.137049999</v>
      </c>
      <c r="D68" s="207">
        <f t="shared" si="19"/>
        <v>5.5187652245332659</v>
      </c>
      <c r="E68" s="242">
        <v>0.3753762888675477</v>
      </c>
      <c r="F68" s="241">
        <f>SUM(F69:F107)</f>
        <v>595468.83960000006</v>
      </c>
      <c r="G68" s="241">
        <f>SUM(G69:G107)</f>
        <v>1988972.7983500001</v>
      </c>
      <c r="H68" s="209">
        <f t="shared" si="18"/>
        <v>3.3401794788893935</v>
      </c>
      <c r="I68" s="241">
        <f>SUM(I69:I107)</f>
        <v>5036017.5296499999</v>
      </c>
      <c r="J68" s="241">
        <f>SUM(J69:J107)</f>
        <v>29089878.3387</v>
      </c>
      <c r="K68" s="209">
        <f t="shared" si="12"/>
        <v>5.7763655840017956</v>
      </c>
      <c r="L68" s="192">
        <f t="shared" si="13"/>
        <v>8.4572309997495285</v>
      </c>
      <c r="M68" s="210">
        <f t="shared" si="20"/>
        <v>0.89426080424317811</v>
      </c>
      <c r="N68" s="192">
        <f t="shared" si="14"/>
        <v>14.625578772536359</v>
      </c>
      <c r="O68" s="185" t="s">
        <v>57</v>
      </c>
      <c r="P68" s="241">
        <f>SUM(P69:P107)</f>
        <v>7489817</v>
      </c>
      <c r="Q68" s="211">
        <f>SUM(Q69:Q107)</f>
        <v>1601958</v>
      </c>
      <c r="R68" s="211">
        <f t="shared" ref="R68:S68" si="21">SUM(R69:R107)</f>
        <v>4477751</v>
      </c>
      <c r="S68" s="211">
        <f t="shared" si="21"/>
        <v>13569526</v>
      </c>
      <c r="T68" s="213">
        <f>(B68/S68)*100</f>
        <v>41.500980721434189</v>
      </c>
      <c r="U68" s="213">
        <f>(I68/R68)*100</f>
        <v>112.46756529449718</v>
      </c>
      <c r="V68" s="211">
        <f>SUM(V69:V107)</f>
        <v>5505611</v>
      </c>
      <c r="W68" s="211">
        <f>SUM(W69:W107)</f>
        <v>821810</v>
      </c>
      <c r="X68" s="211">
        <f t="shared" si="17"/>
        <v>6327421</v>
      </c>
      <c r="Y68" s="213">
        <f>(B68/X68)*100</f>
        <v>89.001290877436475</v>
      </c>
    </row>
    <row r="69" spans="1:25">
      <c r="A69" s="181" t="s">
        <v>11</v>
      </c>
      <c r="B69" s="214"/>
      <c r="C69" s="214"/>
      <c r="D69" s="214"/>
      <c r="E69" s="214"/>
      <c r="F69" s="214"/>
      <c r="G69" s="214"/>
      <c r="H69" s="215"/>
      <c r="I69" s="214"/>
      <c r="J69" s="214"/>
      <c r="K69" s="215"/>
      <c r="L69" s="214"/>
      <c r="M69" s="214"/>
      <c r="N69" s="214"/>
      <c r="O69" s="181" t="s">
        <v>11</v>
      </c>
      <c r="P69" s="216">
        <v>4613</v>
      </c>
      <c r="Q69" s="202"/>
      <c r="R69" s="202"/>
      <c r="S69" s="202">
        <f>P69+Q69+R69</f>
        <v>4613</v>
      </c>
      <c r="T69" s="212">
        <f>(B69/S69)*100</f>
        <v>0</v>
      </c>
      <c r="U69" s="213"/>
      <c r="V69" s="202">
        <v>3201</v>
      </c>
      <c r="W69" s="202"/>
      <c r="X69" s="202">
        <f t="shared" si="17"/>
        <v>3201</v>
      </c>
      <c r="Y69" s="212">
        <f>(B69/X69)*100</f>
        <v>0</v>
      </c>
    </row>
    <row r="70" spans="1:25">
      <c r="A70" s="181" t="s">
        <v>12</v>
      </c>
      <c r="B70" s="216">
        <v>3729</v>
      </c>
      <c r="C70" s="216">
        <v>14625</v>
      </c>
      <c r="D70" s="217">
        <f t="shared" si="19"/>
        <v>3.921962992759453</v>
      </c>
      <c r="E70" s="194"/>
      <c r="F70" s="216">
        <v>1533</v>
      </c>
      <c r="G70" s="216">
        <v>6316</v>
      </c>
      <c r="H70" s="218">
        <f t="shared" si="18"/>
        <v>4.1200260926288328</v>
      </c>
      <c r="I70" s="216">
        <v>2196</v>
      </c>
      <c r="J70" s="216">
        <v>8309</v>
      </c>
      <c r="K70" s="218">
        <f t="shared" si="12"/>
        <v>3.7836976320582876</v>
      </c>
      <c r="L70" s="178">
        <f t="shared" si="13"/>
        <v>1.4324853228962817</v>
      </c>
      <c r="M70" s="219">
        <f t="shared" si="20"/>
        <v>0.58889782783588096</v>
      </c>
      <c r="N70" s="178">
        <f t="shared" si="14"/>
        <v>1.3155478150728308</v>
      </c>
      <c r="O70" s="181" t="s">
        <v>12</v>
      </c>
      <c r="P70" s="216">
        <v>22969</v>
      </c>
      <c r="Q70" s="202">
        <v>7071</v>
      </c>
      <c r="R70" s="202">
        <v>0</v>
      </c>
      <c r="S70" s="202">
        <f>P70+Q70+R70</f>
        <v>30040</v>
      </c>
      <c r="T70" s="212">
        <f>(B70/S70)*100</f>
        <v>12.413448735019973</v>
      </c>
      <c r="U70" s="213"/>
      <c r="V70" s="202">
        <v>17565</v>
      </c>
      <c r="W70" s="202">
        <v>5047</v>
      </c>
      <c r="X70" s="202">
        <f t="shared" si="17"/>
        <v>22612</v>
      </c>
      <c r="Y70" s="212">
        <f>(B70/X70)*100</f>
        <v>16.491243587475676</v>
      </c>
    </row>
    <row r="71" spans="1:25">
      <c r="A71" s="181" t="s">
        <v>13</v>
      </c>
      <c r="B71" s="216">
        <v>27906</v>
      </c>
      <c r="C71" s="216">
        <v>123514</v>
      </c>
      <c r="D71" s="217">
        <f t="shared" si="19"/>
        <v>4.4260732458969398</v>
      </c>
      <c r="E71" s="194"/>
      <c r="F71" s="216">
        <v>7743</v>
      </c>
      <c r="G71" s="216">
        <v>20845</v>
      </c>
      <c r="H71" s="218">
        <f t="shared" si="18"/>
        <v>2.692109001678936</v>
      </c>
      <c r="I71" s="216">
        <v>20163</v>
      </c>
      <c r="J71" s="216">
        <v>102669</v>
      </c>
      <c r="K71" s="218">
        <f t="shared" si="12"/>
        <v>5.0919506025889003</v>
      </c>
      <c r="L71" s="178">
        <f t="shared" si="13"/>
        <v>2.6040294459511819</v>
      </c>
      <c r="M71" s="219">
        <f t="shared" si="20"/>
        <v>0.72253278864760262</v>
      </c>
      <c r="N71" s="178">
        <f t="shared" si="14"/>
        <v>4.9253538018709522</v>
      </c>
      <c r="O71" s="181" t="s">
        <v>13</v>
      </c>
      <c r="P71" s="216">
        <v>191492</v>
      </c>
      <c r="Q71" s="202">
        <v>3931</v>
      </c>
      <c r="R71" s="202">
        <v>0</v>
      </c>
      <c r="S71" s="202">
        <f>P71+Q71+R71</f>
        <v>195423</v>
      </c>
      <c r="T71" s="212">
        <f>(B71/S71)*100</f>
        <v>14.279793064275955</v>
      </c>
      <c r="U71" s="212"/>
      <c r="V71" s="202">
        <v>96284</v>
      </c>
      <c r="W71" s="202">
        <v>2467</v>
      </c>
      <c r="X71" s="202">
        <f t="shared" si="17"/>
        <v>98751</v>
      </c>
      <c r="Y71" s="212">
        <f>(B71/X71)*100</f>
        <v>28.258954339702889</v>
      </c>
    </row>
    <row r="72" spans="1:25">
      <c r="A72" s="181" t="s">
        <v>14</v>
      </c>
      <c r="B72" s="220">
        <v>89156.991999999998</v>
      </c>
      <c r="C72" s="220">
        <v>562970.91200000001</v>
      </c>
      <c r="D72" s="217">
        <f t="shared" si="19"/>
        <v>6.3143775868975034</v>
      </c>
      <c r="E72" s="194"/>
      <c r="F72" s="220">
        <v>10504.288</v>
      </c>
      <c r="G72" s="220">
        <v>44941.567999999999</v>
      </c>
      <c r="H72" s="218">
        <f t="shared" si="18"/>
        <v>4.278402115402776</v>
      </c>
      <c r="I72" s="220">
        <v>78652.703999999998</v>
      </c>
      <c r="J72" s="220">
        <v>518029.34399999998</v>
      </c>
      <c r="K72" s="218">
        <f t="shared" si="12"/>
        <v>6.5862877899277308</v>
      </c>
      <c r="L72" s="178">
        <f t="shared" si="13"/>
        <v>7.4876758900746054</v>
      </c>
      <c r="M72" s="219">
        <f t="shared" si="20"/>
        <v>0.88218211758422715</v>
      </c>
      <c r="N72" s="178">
        <f t="shared" si="14"/>
        <v>11.526730531520395</v>
      </c>
      <c r="O72" s="181" t="s">
        <v>14</v>
      </c>
      <c r="P72" s="216">
        <v>22601</v>
      </c>
      <c r="Q72" s="202">
        <v>30256</v>
      </c>
      <c r="R72" s="202">
        <v>98148</v>
      </c>
      <c r="S72" s="202">
        <f>P72+Q72+R72</f>
        <v>151005</v>
      </c>
      <c r="T72" s="212">
        <f>(B72/S72)*100</f>
        <v>59.042410516208079</v>
      </c>
      <c r="U72" s="212">
        <f>(I72/R72)*100</f>
        <v>80.136838244284135</v>
      </c>
      <c r="V72" s="202">
        <v>9529</v>
      </c>
      <c r="W72" s="202">
        <v>13680</v>
      </c>
      <c r="X72" s="202">
        <f t="shared" si="17"/>
        <v>23209</v>
      </c>
      <c r="Y72" s="212">
        <f>(B72/X72)*100</f>
        <v>384.14835624111333</v>
      </c>
    </row>
    <row r="73" spans="1:25">
      <c r="A73" s="181" t="s">
        <v>15</v>
      </c>
      <c r="B73" s="220">
        <v>719.00800000000004</v>
      </c>
      <c r="C73" s="220">
        <v>4540.0879999999997</v>
      </c>
      <c r="D73" s="217">
        <f t="shared" si="19"/>
        <v>6.3143775868975025</v>
      </c>
      <c r="E73" s="194"/>
      <c r="F73" s="220">
        <v>84.712000000000003</v>
      </c>
      <c r="G73" s="220">
        <v>362.43200000000002</v>
      </c>
      <c r="H73" s="218">
        <f t="shared" si="18"/>
        <v>4.2784021154027769</v>
      </c>
      <c r="I73" s="220">
        <v>634.29600000000005</v>
      </c>
      <c r="J73" s="220">
        <v>4177.6559999999999</v>
      </c>
      <c r="K73" s="218">
        <f t="shared" si="12"/>
        <v>6.5862877899277299</v>
      </c>
      <c r="L73" s="178">
        <f t="shared" si="13"/>
        <v>7.4876758900746063</v>
      </c>
      <c r="M73" s="219">
        <f t="shared" si="20"/>
        <v>0.88218211758422715</v>
      </c>
      <c r="N73" s="178">
        <f t="shared" si="14"/>
        <v>11.526730531520395</v>
      </c>
      <c r="O73" s="181" t="s">
        <v>15</v>
      </c>
      <c r="P73" s="216">
        <v>7162</v>
      </c>
      <c r="Q73" s="202">
        <v>1181</v>
      </c>
      <c r="R73" s="202">
        <v>0</v>
      </c>
      <c r="S73" s="202">
        <f>P73+Q73+R73</f>
        <v>8343</v>
      </c>
      <c r="T73" s="212">
        <f>(B73/S73)*100</f>
        <v>8.6180990051540221</v>
      </c>
      <c r="U73" s="212"/>
      <c r="V73" s="202">
        <v>4386</v>
      </c>
      <c r="W73" s="202">
        <v>821</v>
      </c>
      <c r="X73" s="202">
        <f t="shared" si="17"/>
        <v>5207</v>
      </c>
      <c r="Y73" s="212">
        <f>(B73/X73)*100</f>
        <v>13.80848857307471</v>
      </c>
    </row>
    <row r="74" spans="1:25">
      <c r="A74" s="181" t="s">
        <v>16</v>
      </c>
      <c r="B74" s="216">
        <v>1295163</v>
      </c>
      <c r="C74" s="216">
        <v>8574525</v>
      </c>
      <c r="D74" s="217">
        <f t="shared" si="19"/>
        <v>6.6204215222331086</v>
      </c>
      <c r="E74" s="194"/>
      <c r="F74" s="216">
        <v>66445</v>
      </c>
      <c r="G74" s="216">
        <v>232285</v>
      </c>
      <c r="H74" s="218">
        <f t="shared" si="18"/>
        <v>3.4958988637218753</v>
      </c>
      <c r="I74" s="216">
        <v>1228718</v>
      </c>
      <c r="J74" s="216">
        <v>8342240</v>
      </c>
      <c r="K74" s="218">
        <f t="shared" si="12"/>
        <v>6.7893853593745677</v>
      </c>
      <c r="L74" s="178">
        <f t="shared" si="13"/>
        <v>18.492256753706073</v>
      </c>
      <c r="M74" s="219">
        <f t="shared" si="20"/>
        <v>0.94869757706172886</v>
      </c>
      <c r="N74" s="178">
        <f t="shared" si="14"/>
        <v>35.913812773102009</v>
      </c>
      <c r="O74" s="181" t="s">
        <v>16</v>
      </c>
      <c r="P74" s="216">
        <v>317048</v>
      </c>
      <c r="Q74" s="202">
        <v>134863</v>
      </c>
      <c r="R74" s="202">
        <v>1143743</v>
      </c>
      <c r="S74" s="202">
        <f>P74+Q74+R74</f>
        <v>1595654</v>
      </c>
      <c r="T74" s="212">
        <f>(B74/S74)*100</f>
        <v>81.168160516001592</v>
      </c>
      <c r="U74" s="212">
        <f>(I74/R74)*100</f>
        <v>107.4295536672137</v>
      </c>
      <c r="V74" s="202">
        <v>138396</v>
      </c>
      <c r="W74" s="202">
        <v>29915</v>
      </c>
      <c r="X74" s="202">
        <f t="shared" si="17"/>
        <v>168311</v>
      </c>
      <c r="Y74" s="212">
        <f>(B74/X74)*100</f>
        <v>769.50585523227835</v>
      </c>
    </row>
    <row r="75" spans="1:25">
      <c r="A75" s="181" t="s">
        <v>17</v>
      </c>
      <c r="B75" s="220">
        <v>2449.134</v>
      </c>
      <c r="C75" s="220">
        <v>10429.367999999999</v>
      </c>
      <c r="D75" s="217">
        <f t="shared" si="19"/>
        <v>4.258390108503658</v>
      </c>
      <c r="E75" s="194"/>
      <c r="F75" s="220">
        <v>696.58899999999994</v>
      </c>
      <c r="G75" s="220">
        <v>2103.672</v>
      </c>
      <c r="H75" s="218">
        <f t="shared" si="18"/>
        <v>3.0199615555226975</v>
      </c>
      <c r="I75" s="220">
        <v>1752.5449999999998</v>
      </c>
      <c r="J75" s="220">
        <v>8325.6959999999999</v>
      </c>
      <c r="K75" s="218">
        <f t="shared" si="12"/>
        <v>4.7506317954745816</v>
      </c>
      <c r="L75" s="178">
        <f t="shared" si="13"/>
        <v>2.5158953127310366</v>
      </c>
      <c r="M75" s="219">
        <f t="shared" si="20"/>
        <v>0.71557742451005124</v>
      </c>
      <c r="N75" s="178">
        <f t="shared" si="14"/>
        <v>3.9576968272620445</v>
      </c>
      <c r="O75" s="181" t="s">
        <v>17</v>
      </c>
      <c r="P75" s="216">
        <v>18166</v>
      </c>
      <c r="Q75" s="202"/>
      <c r="R75" s="202"/>
      <c r="S75" s="202">
        <f>P75+Q75+R75</f>
        <v>18166</v>
      </c>
      <c r="T75" s="212">
        <f>(B75/S75)*100</f>
        <v>13.4819663106903</v>
      </c>
      <c r="U75" s="212"/>
      <c r="V75" s="202">
        <v>13310</v>
      </c>
      <c r="W75" s="202"/>
      <c r="X75" s="202">
        <f t="shared" si="17"/>
        <v>13310</v>
      </c>
      <c r="Y75" s="212">
        <f>(B75/X75)*100</f>
        <v>18.400706235912846</v>
      </c>
    </row>
    <row r="76" spans="1:25">
      <c r="A76" s="181" t="s">
        <v>18</v>
      </c>
      <c r="B76" s="220">
        <v>21328.866000000002</v>
      </c>
      <c r="C76" s="220">
        <v>90826.632000000012</v>
      </c>
      <c r="D76" s="217">
        <f t="shared" si="19"/>
        <v>4.2583901085036588</v>
      </c>
      <c r="E76" s="194"/>
      <c r="F76" s="220">
        <v>6066.4110000000001</v>
      </c>
      <c r="G76" s="220">
        <v>18320.328000000001</v>
      </c>
      <c r="H76" s="218">
        <f t="shared" si="18"/>
        <v>3.0199615555226971</v>
      </c>
      <c r="I76" s="220">
        <v>15262.455</v>
      </c>
      <c r="J76" s="220">
        <v>72506.304000000004</v>
      </c>
      <c r="K76" s="218">
        <f t="shared" si="12"/>
        <v>4.7506317954745816</v>
      </c>
      <c r="L76" s="178">
        <f t="shared" si="13"/>
        <v>2.5158953127310366</v>
      </c>
      <c r="M76" s="219">
        <f t="shared" si="20"/>
        <v>0.71557742451005124</v>
      </c>
      <c r="N76" s="178">
        <f t="shared" si="14"/>
        <v>3.9576968272620445</v>
      </c>
      <c r="O76" s="181" t="s">
        <v>18</v>
      </c>
      <c r="P76" s="216">
        <v>74211</v>
      </c>
      <c r="Q76" s="202">
        <v>10732</v>
      </c>
      <c r="R76" s="202">
        <v>0</v>
      </c>
      <c r="S76" s="202">
        <f>P76+Q76+R76</f>
        <v>84943</v>
      </c>
      <c r="T76" s="212">
        <f>(B76/S76)*100</f>
        <v>25.109621746347553</v>
      </c>
      <c r="U76" s="212"/>
      <c r="V76" s="202">
        <v>34371</v>
      </c>
      <c r="W76" s="202">
        <v>6456</v>
      </c>
      <c r="X76" s="202">
        <f t="shared" si="17"/>
        <v>40827</v>
      </c>
      <c r="Y76" s="212">
        <f>(B76/X76)*100</f>
        <v>52.242060401205094</v>
      </c>
    </row>
    <row r="77" spans="1:25">
      <c r="A77" s="181" t="s">
        <v>19</v>
      </c>
      <c r="B77" s="220">
        <v>2568.7318800000003</v>
      </c>
      <c r="C77" s="220">
        <v>16063.92605</v>
      </c>
      <c r="D77" s="217">
        <f t="shared" si="19"/>
        <v>6.2536406290873758</v>
      </c>
      <c r="E77" s="194"/>
      <c r="F77" s="220">
        <v>189.30332999999999</v>
      </c>
      <c r="G77" s="222">
        <v>634.52498000000003</v>
      </c>
      <c r="H77" s="218">
        <f t="shared" si="18"/>
        <v>3.3518955002006572</v>
      </c>
      <c r="I77" s="220">
        <v>2379.4285500000001</v>
      </c>
      <c r="J77" s="222">
        <v>15429.40107</v>
      </c>
      <c r="K77" s="218">
        <f t="shared" si="12"/>
        <v>6.4844985868560752</v>
      </c>
      <c r="L77" s="178">
        <f t="shared" si="13"/>
        <v>12.569396164346397</v>
      </c>
      <c r="M77" s="219">
        <f t="shared" si="20"/>
        <v>0.92630475314535354</v>
      </c>
      <c r="N77" s="178">
        <f t="shared" si="14"/>
        <v>24.316459645134852</v>
      </c>
      <c r="O77" s="181" t="s">
        <v>19</v>
      </c>
      <c r="P77" s="216">
        <v>59259</v>
      </c>
      <c r="Q77" s="202">
        <v>2774</v>
      </c>
      <c r="R77" s="202">
        <v>0</v>
      </c>
      <c r="S77" s="202">
        <f>P77+Q77+R77</f>
        <v>62033</v>
      </c>
      <c r="T77" s="212">
        <f>(B77/S77)*100</f>
        <v>4.1409119017297247</v>
      </c>
      <c r="U77" s="212"/>
      <c r="V77" s="202">
        <v>4169</v>
      </c>
      <c r="W77" s="202">
        <v>1970</v>
      </c>
      <c r="X77" s="202">
        <f t="shared" si="17"/>
        <v>6139</v>
      </c>
      <c r="Y77" s="212">
        <f>(B77/X77)*100</f>
        <v>41.842838898843468</v>
      </c>
    </row>
    <row r="78" spans="1:25">
      <c r="A78" s="181" t="s">
        <v>20</v>
      </c>
      <c r="B78" s="216">
        <v>2752</v>
      </c>
      <c r="C78" s="216">
        <v>9610</v>
      </c>
      <c r="D78" s="217">
        <f t="shared" si="19"/>
        <v>3.4920058139534884</v>
      </c>
      <c r="E78" s="216"/>
      <c r="F78" s="216">
        <v>1784</v>
      </c>
      <c r="G78" s="216">
        <v>6208</v>
      </c>
      <c r="H78" s="218">
        <f t="shared" si="18"/>
        <v>3.4798206278026904</v>
      </c>
      <c r="I78" s="216">
        <v>968</v>
      </c>
      <c r="J78" s="216">
        <v>3402</v>
      </c>
      <c r="K78" s="218">
        <f t="shared" si="12"/>
        <v>3.5144628099173554</v>
      </c>
      <c r="L78" s="178">
        <f t="shared" si="13"/>
        <v>0.54260089686098656</v>
      </c>
      <c r="M78" s="219">
        <f t="shared" si="20"/>
        <v>0.35174418604651164</v>
      </c>
      <c r="N78" s="178">
        <f t="shared" si="14"/>
        <v>0.54800257731958768</v>
      </c>
      <c r="O78" s="181" t="s">
        <v>20</v>
      </c>
      <c r="P78" s="216">
        <v>20913</v>
      </c>
      <c r="Q78" s="202"/>
      <c r="R78" s="202"/>
      <c r="S78" s="202">
        <f>P78+Q78+R78</f>
        <v>20913</v>
      </c>
      <c r="T78" s="212">
        <f>(B78/S78)*100</f>
        <v>13.159278917419787</v>
      </c>
      <c r="U78" s="212"/>
      <c r="V78" s="202">
        <v>8097</v>
      </c>
      <c r="W78" s="202"/>
      <c r="X78" s="202">
        <f t="shared" si="17"/>
        <v>8097</v>
      </c>
      <c r="Y78" s="212">
        <f>(B78/X78)*100</f>
        <v>33.987896751883412</v>
      </c>
    </row>
    <row r="79" spans="1:25">
      <c r="A79" s="181" t="s">
        <v>21</v>
      </c>
      <c r="B79" s="216">
        <v>24495</v>
      </c>
      <c r="C79" s="216">
        <v>83664</v>
      </c>
      <c r="D79" s="217">
        <f t="shared" si="19"/>
        <v>3.4155541947336192</v>
      </c>
      <c r="E79" s="216"/>
      <c r="F79" s="216">
        <v>11750</v>
      </c>
      <c r="G79" s="216">
        <v>38613</v>
      </c>
      <c r="H79" s="218">
        <f t="shared" si="18"/>
        <v>3.2862127659574467</v>
      </c>
      <c r="I79" s="216">
        <v>12745</v>
      </c>
      <c r="J79" s="216">
        <v>45051</v>
      </c>
      <c r="K79" s="218">
        <f t="shared" si="12"/>
        <v>3.5347979599843078</v>
      </c>
      <c r="L79" s="178">
        <f t="shared" si="13"/>
        <v>1.0846808510638297</v>
      </c>
      <c r="M79" s="219">
        <f t="shared" si="20"/>
        <v>0.52031026740151054</v>
      </c>
      <c r="N79" s="178">
        <f t="shared" si="14"/>
        <v>1.1667314117007226</v>
      </c>
      <c r="O79" s="181" t="s">
        <v>21</v>
      </c>
      <c r="P79" s="216">
        <v>82319</v>
      </c>
      <c r="Q79" s="202"/>
      <c r="R79" s="202"/>
      <c r="S79" s="202">
        <f>P79+Q79+R79</f>
        <v>82319</v>
      </c>
      <c r="T79" s="212">
        <f>(B79/S79)*100</f>
        <v>29.756192373571107</v>
      </c>
      <c r="U79" s="212"/>
      <c r="V79" s="202">
        <v>58099</v>
      </c>
      <c r="W79" s="202"/>
      <c r="X79" s="202">
        <f t="shared" si="17"/>
        <v>58099</v>
      </c>
      <c r="Y79" s="212">
        <f>(B79/X79)*100</f>
        <v>42.16079450592953</v>
      </c>
    </row>
    <row r="80" spans="1:25">
      <c r="A80" s="181" t="s">
        <v>22</v>
      </c>
      <c r="B80" s="220">
        <v>2398115.2681200001</v>
      </c>
      <c r="C80" s="220">
        <v>14996951.07395</v>
      </c>
      <c r="D80" s="217">
        <f t="shared" si="19"/>
        <v>6.2536406290873767</v>
      </c>
      <c r="E80" s="194"/>
      <c r="F80" s="220">
        <v>176729.69667</v>
      </c>
      <c r="G80" s="220">
        <v>592379.47502000001</v>
      </c>
      <c r="H80" s="218">
        <f t="shared" si="18"/>
        <v>3.3518955002006567</v>
      </c>
      <c r="I80" s="220">
        <v>2221385.5714500002</v>
      </c>
      <c r="J80" s="220">
        <v>14404571.598929999</v>
      </c>
      <c r="K80" s="218">
        <f t="shared" si="12"/>
        <v>6.4844985868560743</v>
      </c>
      <c r="L80" s="178">
        <f t="shared" si="13"/>
        <v>12.569396164346397</v>
      </c>
      <c r="M80" s="219">
        <f t="shared" si="20"/>
        <v>0.92630475314535354</v>
      </c>
      <c r="N80" s="178">
        <f t="shared" si="14"/>
        <v>24.316459645134852</v>
      </c>
      <c r="O80" s="181" t="s">
        <v>22</v>
      </c>
      <c r="P80" s="216">
        <v>324433</v>
      </c>
      <c r="Q80" s="202">
        <v>386993</v>
      </c>
      <c r="R80" s="202">
        <v>2268791</v>
      </c>
      <c r="S80" s="202">
        <f>P80+Q80+R80</f>
        <v>2980217</v>
      </c>
      <c r="T80" s="212">
        <f>(B80/S80)*100</f>
        <v>80.467807146929232</v>
      </c>
      <c r="U80" s="212">
        <f>(I80/R80)*100</f>
        <v>97.910542286618735</v>
      </c>
      <c r="V80" s="202">
        <v>154245</v>
      </c>
      <c r="W80" s="202">
        <v>82141</v>
      </c>
      <c r="X80" s="202">
        <f t="shared" si="17"/>
        <v>236386</v>
      </c>
      <c r="Y80" s="212">
        <f>(B80/X80)*100</f>
        <v>1014.4912423409171</v>
      </c>
    </row>
    <row r="81" spans="1:25">
      <c r="A81" s="181" t="s">
        <v>23</v>
      </c>
      <c r="B81" s="220">
        <v>10472.488000000001</v>
      </c>
      <c r="C81" s="220">
        <v>45870.968000000001</v>
      </c>
      <c r="D81" s="217">
        <f t="shared" si="19"/>
        <v>4.3801404212637909</v>
      </c>
      <c r="E81" s="194"/>
      <c r="F81" s="220">
        <v>3351.5839999999998</v>
      </c>
      <c r="G81" s="220">
        <v>9371.9920000000002</v>
      </c>
      <c r="H81" s="218">
        <f t="shared" si="18"/>
        <v>2.7962873674059789</v>
      </c>
      <c r="I81" s="220">
        <v>7120.9040000000005</v>
      </c>
      <c r="J81" s="220">
        <v>36498.976000000002</v>
      </c>
      <c r="K81" s="218">
        <f t="shared" si="12"/>
        <v>5.1256098944740724</v>
      </c>
      <c r="L81" s="178">
        <f t="shared" si="13"/>
        <v>2.1246383799421409</v>
      </c>
      <c r="M81" s="219">
        <f t="shared" si="20"/>
        <v>0.6799629658205385</v>
      </c>
      <c r="N81" s="178">
        <f t="shared" si="14"/>
        <v>3.8944736615225453</v>
      </c>
      <c r="O81" s="181" t="s">
        <v>23</v>
      </c>
      <c r="P81" s="216">
        <v>185752</v>
      </c>
      <c r="Q81" s="202"/>
      <c r="R81" s="202"/>
      <c r="S81" s="202">
        <f>P81+Q81+R81</f>
        <v>185752</v>
      </c>
      <c r="T81" s="212">
        <f>(B81/S81)*100</f>
        <v>5.6378870752401058</v>
      </c>
      <c r="U81" s="212"/>
      <c r="V81" s="202">
        <v>150944</v>
      </c>
      <c r="W81" s="202"/>
      <c r="X81" s="202">
        <f t="shared" si="17"/>
        <v>150944</v>
      </c>
      <c r="Y81" s="212">
        <f>(B81/X81)*100</f>
        <v>6.9379955480178088</v>
      </c>
    </row>
    <row r="82" spans="1:25">
      <c r="A82" s="181" t="s">
        <v>24</v>
      </c>
      <c r="B82" s="216">
        <v>5917</v>
      </c>
      <c r="C82" s="216">
        <v>33269</v>
      </c>
      <c r="D82" s="217">
        <f t="shared" si="19"/>
        <v>5.6226128105458848</v>
      </c>
      <c r="E82" s="216"/>
      <c r="F82" s="216">
        <v>1546</v>
      </c>
      <c r="G82" s="216">
        <v>4748</v>
      </c>
      <c r="H82" s="218">
        <f t="shared" si="18"/>
        <v>3.0711513583441139</v>
      </c>
      <c r="I82" s="216">
        <v>4371</v>
      </c>
      <c r="J82" s="216">
        <v>28521</v>
      </c>
      <c r="K82" s="218">
        <f t="shared" si="12"/>
        <v>6.5250514756348661</v>
      </c>
      <c r="L82" s="178">
        <f t="shared" si="13"/>
        <v>2.8272962483829236</v>
      </c>
      <c r="M82" s="219">
        <f t="shared" si="20"/>
        <v>0.73871894541152616</v>
      </c>
      <c r="N82" s="178">
        <f t="shared" si="14"/>
        <v>6.0069502948609941</v>
      </c>
      <c r="O82" s="181" t="s">
        <v>24</v>
      </c>
      <c r="P82" s="216">
        <v>17179</v>
      </c>
      <c r="Q82" s="202"/>
      <c r="R82" s="202"/>
      <c r="S82" s="202">
        <f>P82+Q82+R82</f>
        <v>17179</v>
      </c>
      <c r="T82" s="212">
        <f>(B82/S82)*100</f>
        <v>34.44321555387392</v>
      </c>
      <c r="U82" s="212"/>
      <c r="V82" s="202">
        <v>8211</v>
      </c>
      <c r="W82" s="202"/>
      <c r="X82" s="202">
        <f t="shared" si="17"/>
        <v>8211</v>
      </c>
      <c r="Y82" s="212">
        <f>(B82/X82)*100</f>
        <v>72.061868225551081</v>
      </c>
    </row>
    <row r="83" spans="1:25">
      <c r="A83" s="181" t="s">
        <v>25</v>
      </c>
      <c r="B83" s="220">
        <v>2488.5120000000002</v>
      </c>
      <c r="C83" s="220">
        <v>10900.032000000001</v>
      </c>
      <c r="D83" s="217">
        <f t="shared" si="19"/>
        <v>4.3801404212637918</v>
      </c>
      <c r="E83" s="194"/>
      <c r="F83" s="220">
        <v>796.41600000000005</v>
      </c>
      <c r="G83" s="220">
        <v>2227.0080000000003</v>
      </c>
      <c r="H83" s="218">
        <f t="shared" si="18"/>
        <v>2.7962873674059789</v>
      </c>
      <c r="I83" s="220">
        <v>1692.096</v>
      </c>
      <c r="J83" s="220">
        <v>8673.0239999999994</v>
      </c>
      <c r="K83" s="218">
        <f t="shared" si="12"/>
        <v>5.1256098944740724</v>
      </c>
      <c r="L83" s="178">
        <f t="shared" si="13"/>
        <v>2.1246383799421404</v>
      </c>
      <c r="M83" s="219">
        <f t="shared" si="20"/>
        <v>0.6799629658205385</v>
      </c>
      <c r="N83" s="178">
        <f t="shared" si="14"/>
        <v>3.8944736615225444</v>
      </c>
      <c r="O83" s="181" t="s">
        <v>25</v>
      </c>
      <c r="P83" s="216">
        <v>10924</v>
      </c>
      <c r="Q83" s="202"/>
      <c r="R83" s="202"/>
      <c r="S83" s="202">
        <f>P83+Q83+R83</f>
        <v>10924</v>
      </c>
      <c r="T83" s="212">
        <f>(B83/S83)*100</f>
        <v>22.780227023068473</v>
      </c>
      <c r="U83" s="212"/>
      <c r="V83" s="202">
        <v>6724</v>
      </c>
      <c r="W83" s="202"/>
      <c r="X83" s="202">
        <f t="shared" si="17"/>
        <v>6724</v>
      </c>
      <c r="Y83" s="212">
        <f>(B83/X83)*100</f>
        <v>37.009399167162407</v>
      </c>
    </row>
    <row r="84" spans="1:25">
      <c r="A84" s="181" t="s">
        <v>26</v>
      </c>
      <c r="B84" s="216">
        <v>15997</v>
      </c>
      <c r="C84" s="216">
        <v>547101</v>
      </c>
      <c r="D84" s="217">
        <f t="shared" si="19"/>
        <v>34.200225042195413</v>
      </c>
      <c r="E84" s="194"/>
      <c r="F84" s="216">
        <v>3569</v>
      </c>
      <c r="G84" s="216">
        <v>109367</v>
      </c>
      <c r="H84" s="218">
        <f t="shared" si="18"/>
        <v>30.643597646399552</v>
      </c>
      <c r="I84" s="216">
        <v>12428</v>
      </c>
      <c r="J84" s="216">
        <v>437734</v>
      </c>
      <c r="K84" s="218">
        <f t="shared" si="12"/>
        <v>35.22159639523656</v>
      </c>
      <c r="L84" s="178">
        <f t="shared" si="13"/>
        <v>3.4822079013729335</v>
      </c>
      <c r="M84" s="219">
        <f t="shared" si="20"/>
        <v>0.77689566793773834</v>
      </c>
      <c r="N84" s="178">
        <f t="shared" si="14"/>
        <v>4.0024321778964405</v>
      </c>
      <c r="O84" s="181" t="s">
        <v>26</v>
      </c>
      <c r="P84" s="216">
        <v>92604</v>
      </c>
      <c r="Q84" s="202"/>
      <c r="R84" s="202"/>
      <c r="S84" s="202">
        <f>P84+Q84+R84</f>
        <v>92604</v>
      </c>
      <c r="T84" s="212">
        <f>(B84/S84)*100</f>
        <v>17.274631765366507</v>
      </c>
      <c r="U84" s="212"/>
      <c r="V84" s="202">
        <v>79080</v>
      </c>
      <c r="W84" s="202"/>
      <c r="X84" s="202">
        <f t="shared" si="17"/>
        <v>79080</v>
      </c>
      <c r="Y84" s="212">
        <f>(B84/X84)*100</f>
        <v>20.228882144663633</v>
      </c>
    </row>
    <row r="85" spans="1:25">
      <c r="A85" s="181" t="s">
        <v>27</v>
      </c>
      <c r="B85" s="222">
        <v>1017.2080000000001</v>
      </c>
      <c r="C85" s="222">
        <v>2965.5216</v>
      </c>
      <c r="D85" s="217">
        <f t="shared" si="19"/>
        <v>2.9153541851813984</v>
      </c>
      <c r="E85" s="194"/>
      <c r="F85" s="222">
        <v>102.0496</v>
      </c>
      <c r="G85" s="222">
        <v>243.19040000000001</v>
      </c>
      <c r="H85" s="218">
        <f t="shared" si="18"/>
        <v>2.3830607861275301</v>
      </c>
      <c r="I85" s="222">
        <v>915.15840000000003</v>
      </c>
      <c r="J85" s="222">
        <v>2722.3312000000001</v>
      </c>
      <c r="K85" s="218">
        <f t="shared" si="12"/>
        <v>2.9747103889337629</v>
      </c>
      <c r="L85" s="178">
        <f t="shared" si="13"/>
        <v>8.9677803734654518</v>
      </c>
      <c r="M85" s="219">
        <f t="shared" si="20"/>
        <v>0.89967676227477567</v>
      </c>
      <c r="N85" s="178">
        <f t="shared" si="14"/>
        <v>11.194237930444622</v>
      </c>
      <c r="O85" s="181" t="s">
        <v>27</v>
      </c>
      <c r="P85" s="216">
        <v>13598</v>
      </c>
      <c r="Q85" s="202"/>
      <c r="R85" s="202"/>
      <c r="S85" s="202">
        <f>P85+Q85+R85</f>
        <v>13598</v>
      </c>
      <c r="T85" s="212">
        <f>(B85/S85)*100</f>
        <v>7.4805706721576719</v>
      </c>
      <c r="U85" s="212"/>
      <c r="V85" s="202">
        <v>11266</v>
      </c>
      <c r="W85" s="202"/>
      <c r="X85" s="202">
        <f t="shared" si="17"/>
        <v>11266</v>
      </c>
      <c r="Y85" s="212">
        <f>(B85/X85)*100</f>
        <v>9.0290076335877867</v>
      </c>
    </row>
    <row r="86" spans="1:25">
      <c r="A86" s="181" t="s">
        <v>28</v>
      </c>
      <c r="B86" s="216">
        <v>29480</v>
      </c>
      <c r="C86" s="216">
        <v>97963</v>
      </c>
      <c r="D86" s="217">
        <f t="shared" si="19"/>
        <v>3.3230325644504748</v>
      </c>
      <c r="E86" s="216"/>
      <c r="F86" s="216">
        <v>19924</v>
      </c>
      <c r="G86" s="216">
        <v>59581</v>
      </c>
      <c r="H86" s="218">
        <f t="shared" si="18"/>
        <v>2.9904135715719735</v>
      </c>
      <c r="I86" s="216">
        <v>9556</v>
      </c>
      <c r="J86" s="216">
        <v>38382</v>
      </c>
      <c r="K86" s="218">
        <f t="shared" si="12"/>
        <v>4.0165341146923401</v>
      </c>
      <c r="L86" s="178">
        <f t="shared" si="13"/>
        <v>0.47962256574984941</v>
      </c>
      <c r="M86" s="219">
        <f t="shared" si="20"/>
        <v>0.32415196743554953</v>
      </c>
      <c r="N86" s="178">
        <f t="shared" si="14"/>
        <v>0.64419865393330089</v>
      </c>
      <c r="O86" s="181" t="s">
        <v>28</v>
      </c>
      <c r="P86" s="216">
        <v>285573</v>
      </c>
      <c r="Q86" s="202"/>
      <c r="R86" s="202"/>
      <c r="S86" s="202">
        <f>P86+Q86+R86</f>
        <v>285573</v>
      </c>
      <c r="T86" s="212">
        <f>(B86/S86)*100</f>
        <v>10.323104775311391</v>
      </c>
      <c r="U86" s="212"/>
      <c r="V86" s="202">
        <v>185737</v>
      </c>
      <c r="W86" s="202"/>
      <c r="X86" s="202">
        <f t="shared" si="17"/>
        <v>185737</v>
      </c>
      <c r="Y86" s="212">
        <f>(B86/X86)*100</f>
        <v>15.87190489778558</v>
      </c>
    </row>
    <row r="87" spans="1:25">
      <c r="A87" s="181" t="s">
        <v>29</v>
      </c>
      <c r="B87" s="216">
        <v>5203</v>
      </c>
      <c r="C87" s="216">
        <v>21923</v>
      </c>
      <c r="D87" s="217">
        <f t="shared" si="19"/>
        <v>4.2135306553911205</v>
      </c>
      <c r="E87" s="194"/>
      <c r="F87" s="216">
        <v>1298</v>
      </c>
      <c r="G87" s="216">
        <v>4475</v>
      </c>
      <c r="H87" s="218">
        <f t="shared" si="18"/>
        <v>3.4476117103235748</v>
      </c>
      <c r="I87" s="216">
        <v>3905</v>
      </c>
      <c r="J87" s="216">
        <v>17448</v>
      </c>
      <c r="K87" s="218">
        <f t="shared" si="12"/>
        <v>4.4681177976952622</v>
      </c>
      <c r="L87" s="178">
        <f t="shared" si="13"/>
        <v>3.0084745762711864</v>
      </c>
      <c r="M87" s="219">
        <f t="shared" si="20"/>
        <v>0.7505285412262156</v>
      </c>
      <c r="N87" s="178">
        <f t="shared" si="14"/>
        <v>3.8989944134078214</v>
      </c>
      <c r="O87" s="181" t="s">
        <v>29</v>
      </c>
      <c r="P87" s="216">
        <v>353120</v>
      </c>
      <c r="Q87" s="202"/>
      <c r="R87" s="202"/>
      <c r="S87" s="202">
        <f>P87+Q87+R87</f>
        <v>353120</v>
      </c>
      <c r="T87" s="212">
        <f>(B87/S87)*100</f>
        <v>1.4734367920253737</v>
      </c>
      <c r="U87" s="212"/>
      <c r="V87" s="202">
        <v>291304</v>
      </c>
      <c r="W87" s="202"/>
      <c r="X87" s="202">
        <f t="shared" si="17"/>
        <v>291304</v>
      </c>
      <c r="Y87" s="212">
        <f>(B87/X87)*100</f>
        <v>1.7861066102765495</v>
      </c>
    </row>
    <row r="88" spans="1:25">
      <c r="A88" s="181" t="s">
        <v>30</v>
      </c>
      <c r="B88" s="214"/>
      <c r="C88" s="214"/>
      <c r="D88" s="214"/>
      <c r="E88" s="214"/>
      <c r="F88" s="214"/>
      <c r="G88" s="214"/>
      <c r="H88" s="215"/>
      <c r="I88" s="214"/>
      <c r="J88" s="214"/>
      <c r="K88" s="215"/>
      <c r="L88" s="214"/>
      <c r="M88" s="214"/>
      <c r="N88" s="214"/>
      <c r="O88" s="181" t="s">
        <v>30</v>
      </c>
      <c r="P88" s="216">
        <v>21007</v>
      </c>
      <c r="Q88" s="202"/>
      <c r="R88" s="202"/>
      <c r="S88" s="202">
        <f>P88+Q88+R88</f>
        <v>21007</v>
      </c>
      <c r="T88" s="212">
        <f>(B88/S88)*100</f>
        <v>0</v>
      </c>
      <c r="U88" s="212"/>
      <c r="V88" s="202">
        <v>19103</v>
      </c>
      <c r="W88" s="202"/>
      <c r="X88" s="202">
        <f t="shared" si="17"/>
        <v>19103</v>
      </c>
      <c r="Y88" s="212">
        <f>(B88/X88)*100</f>
        <v>0</v>
      </c>
    </row>
    <row r="89" spans="1:25">
      <c r="A89" s="181" t="s">
        <v>31</v>
      </c>
      <c r="B89" s="202">
        <v>0</v>
      </c>
      <c r="C89" s="202">
        <v>0</v>
      </c>
      <c r="D89" s="202">
        <v>0</v>
      </c>
      <c r="E89" s="202">
        <v>0</v>
      </c>
      <c r="F89" s="202">
        <v>0</v>
      </c>
      <c r="G89" s="202">
        <v>0</v>
      </c>
      <c r="H89" s="223">
        <v>0</v>
      </c>
      <c r="I89" s="202">
        <v>0</v>
      </c>
      <c r="J89" s="202">
        <v>0</v>
      </c>
      <c r="K89" s="223">
        <v>0</v>
      </c>
      <c r="L89" s="178">
        <v>0</v>
      </c>
      <c r="M89" s="194">
        <v>0</v>
      </c>
      <c r="N89" s="194">
        <v>0</v>
      </c>
      <c r="O89" s="181" t="s">
        <v>31</v>
      </c>
      <c r="P89" s="216">
        <v>13283</v>
      </c>
      <c r="Q89" s="202"/>
      <c r="R89" s="202"/>
      <c r="S89" s="202">
        <f>P89+Q89+R89</f>
        <v>13283</v>
      </c>
      <c r="T89" s="212">
        <f>(B89/S89)*100</f>
        <v>0</v>
      </c>
      <c r="U89" s="212"/>
      <c r="V89" s="202">
        <v>11315</v>
      </c>
      <c r="W89" s="202"/>
      <c r="X89" s="202">
        <f t="shared" si="17"/>
        <v>11315</v>
      </c>
      <c r="Y89" s="212">
        <f>(B89/X89)*100</f>
        <v>0</v>
      </c>
    </row>
    <row r="90" spans="1:25">
      <c r="A90" s="181" t="s">
        <v>32</v>
      </c>
      <c r="B90" s="220">
        <v>634737.79200000002</v>
      </c>
      <c r="C90" s="220">
        <v>1850485.4783999999</v>
      </c>
      <c r="D90" s="217">
        <f t="shared" si="19"/>
        <v>2.9153541851813984</v>
      </c>
      <c r="E90" s="220"/>
      <c r="F90" s="220">
        <v>63678.950400000002</v>
      </c>
      <c r="G90" s="220">
        <v>151750.80960000001</v>
      </c>
      <c r="H90" s="218">
        <f t="shared" si="18"/>
        <v>2.3830607861275301</v>
      </c>
      <c r="I90" s="220">
        <v>571058.84160000004</v>
      </c>
      <c r="J90" s="220">
        <v>1698734.6688000001</v>
      </c>
      <c r="K90" s="218">
        <f t="shared" si="12"/>
        <v>2.9747103889337625</v>
      </c>
      <c r="L90" s="178">
        <f t="shared" si="13"/>
        <v>8.9677803734654518</v>
      </c>
      <c r="M90" s="219">
        <f t="shared" si="20"/>
        <v>0.89967676227477567</v>
      </c>
      <c r="N90" s="178">
        <f t="shared" si="14"/>
        <v>11.194237930444624</v>
      </c>
      <c r="O90" s="181" t="s">
        <v>32</v>
      </c>
      <c r="P90" s="216">
        <v>1088552</v>
      </c>
      <c r="Q90" s="202">
        <v>578268</v>
      </c>
      <c r="R90" s="202">
        <v>499476</v>
      </c>
      <c r="S90" s="202">
        <f>P90+Q90+R90</f>
        <v>2166296</v>
      </c>
      <c r="T90" s="212">
        <f>(B90/S90)*100</f>
        <v>29.300603057015294</v>
      </c>
      <c r="U90" s="212">
        <f>(I90/R90)*100</f>
        <v>114.3315878240396</v>
      </c>
      <c r="V90" s="202">
        <v>901292</v>
      </c>
      <c r="W90" s="202">
        <v>334680</v>
      </c>
      <c r="X90" s="202">
        <f t="shared" si="17"/>
        <v>1235972</v>
      </c>
      <c r="Y90" s="212">
        <f>(B90/X90)*100</f>
        <v>51.35535368115135</v>
      </c>
    </row>
    <row r="91" spans="1:25">
      <c r="A91" s="181" t="s">
        <v>33</v>
      </c>
      <c r="B91" s="202">
        <v>0</v>
      </c>
      <c r="C91" s="202">
        <v>0</v>
      </c>
      <c r="D91" s="202">
        <v>0</v>
      </c>
      <c r="E91" s="202">
        <v>0</v>
      </c>
      <c r="F91" s="202">
        <v>0</v>
      </c>
      <c r="G91" s="202">
        <v>0</v>
      </c>
      <c r="H91" s="223">
        <v>0</v>
      </c>
      <c r="I91" s="202">
        <v>0</v>
      </c>
      <c r="J91" s="202">
        <v>0</v>
      </c>
      <c r="K91" s="223">
        <v>0</v>
      </c>
      <c r="L91" s="178">
        <v>0</v>
      </c>
      <c r="M91" s="194">
        <v>0</v>
      </c>
      <c r="N91" s="194">
        <v>0</v>
      </c>
      <c r="O91" s="181" t="s">
        <v>33</v>
      </c>
      <c r="P91" s="216">
        <v>12737</v>
      </c>
      <c r="Q91" s="202"/>
      <c r="R91" s="202"/>
      <c r="S91" s="202">
        <f>P91+Q91+R91</f>
        <v>12737</v>
      </c>
      <c r="T91" s="212">
        <f>(B91/S91)*100</f>
        <v>0</v>
      </c>
      <c r="U91" s="212"/>
      <c r="V91" s="202">
        <v>7145</v>
      </c>
      <c r="W91" s="202"/>
      <c r="X91" s="202">
        <f t="shared" si="17"/>
        <v>7145</v>
      </c>
      <c r="Y91" s="212">
        <f>(B91/X91)*100</f>
        <v>0</v>
      </c>
    </row>
    <row r="92" spans="1:25">
      <c r="A92" s="181" t="s">
        <v>34</v>
      </c>
      <c r="B92" s="216">
        <v>43984</v>
      </c>
      <c r="C92" s="216">
        <v>139087</v>
      </c>
      <c r="D92" s="217">
        <f t="shared" si="19"/>
        <v>3.1622180793015642</v>
      </c>
      <c r="E92" s="194"/>
      <c r="F92" s="216">
        <v>7467</v>
      </c>
      <c r="G92" s="216">
        <v>24273</v>
      </c>
      <c r="H92" s="218">
        <f t="shared" si="18"/>
        <v>3.2507030936118921</v>
      </c>
      <c r="I92" s="216">
        <v>36517</v>
      </c>
      <c r="J92" s="216">
        <v>114814</v>
      </c>
      <c r="K92" s="218">
        <f t="shared" si="12"/>
        <v>3.1441246542706138</v>
      </c>
      <c r="L92" s="178">
        <f t="shared" si="13"/>
        <v>4.8904513191375383</v>
      </c>
      <c r="M92" s="219">
        <f t="shared" si="20"/>
        <v>0.83023372135321938</v>
      </c>
      <c r="N92" s="178">
        <f t="shared" si="14"/>
        <v>4.7301116466856179</v>
      </c>
      <c r="O92" s="181" t="s">
        <v>34</v>
      </c>
      <c r="P92" s="216">
        <v>141979</v>
      </c>
      <c r="Q92" s="202"/>
      <c r="R92" s="202"/>
      <c r="S92" s="202">
        <f>P92+Q92+R92</f>
        <v>141979</v>
      </c>
      <c r="T92" s="212">
        <f>(B92/S92)*100</f>
        <v>30.979229322646308</v>
      </c>
      <c r="U92" s="212"/>
      <c r="V92" s="202">
        <v>126591</v>
      </c>
      <c r="W92" s="202"/>
      <c r="X92" s="202">
        <f t="shared" si="17"/>
        <v>126591</v>
      </c>
      <c r="Y92" s="212">
        <f>(B92/X92)*100</f>
        <v>34.744966071837652</v>
      </c>
    </row>
    <row r="93" spans="1:25">
      <c r="A93" s="181" t="s">
        <v>35</v>
      </c>
      <c r="B93" s="220">
        <v>4943.25</v>
      </c>
      <c r="C93" s="220">
        <v>13394.249999999998</v>
      </c>
      <c r="D93" s="217">
        <f t="shared" si="19"/>
        <v>2.7096040054619932</v>
      </c>
      <c r="E93" s="194"/>
      <c r="F93" s="220">
        <v>3167.5499999999997</v>
      </c>
      <c r="G93" s="220">
        <v>6401.2499999999991</v>
      </c>
      <c r="H93" s="218">
        <f t="shared" si="18"/>
        <v>2.0208836482454893</v>
      </c>
      <c r="I93" s="220">
        <v>1775.6999999999998</v>
      </c>
      <c r="J93" s="220">
        <v>6993</v>
      </c>
      <c r="K93" s="218">
        <f t="shared" si="12"/>
        <v>3.9381652306132797</v>
      </c>
      <c r="L93" s="178">
        <f t="shared" si="13"/>
        <v>0.5605909930387839</v>
      </c>
      <c r="M93" s="219">
        <f t="shared" si="20"/>
        <v>0.3592171142467</v>
      </c>
      <c r="N93" s="178">
        <f t="shared" si="14"/>
        <v>1.0924428822495609</v>
      </c>
      <c r="O93" s="181" t="s">
        <v>35</v>
      </c>
      <c r="P93" s="216">
        <v>142763</v>
      </c>
      <c r="Q93" s="202"/>
      <c r="R93" s="202"/>
      <c r="S93" s="202">
        <f>P93+Q93+R93</f>
        <v>142763</v>
      </c>
      <c r="T93" s="212">
        <f>(B93/S93)*100</f>
        <v>3.4625568249476406</v>
      </c>
      <c r="U93" s="212"/>
      <c r="V93" s="202">
        <v>94143</v>
      </c>
      <c r="W93" s="202"/>
      <c r="X93" s="202">
        <f t="shared" si="17"/>
        <v>94143</v>
      </c>
      <c r="Y93" s="212">
        <f>(B93/X93)*100</f>
        <v>5.2507886937956094</v>
      </c>
    </row>
    <row r="94" spans="1:25">
      <c r="A94" s="181" t="s">
        <v>36</v>
      </c>
      <c r="B94" s="222">
        <v>164.57040000000001</v>
      </c>
      <c r="C94" s="220">
        <v>454.59360000000004</v>
      </c>
      <c r="D94" s="217">
        <f t="shared" si="19"/>
        <v>2.7623047644047776</v>
      </c>
      <c r="E94" s="194"/>
      <c r="F94" s="220">
        <v>43.648200000000003</v>
      </c>
      <c r="G94" s="220">
        <v>102.355</v>
      </c>
      <c r="H94" s="218">
        <f t="shared" si="18"/>
        <v>2.3449993355968859</v>
      </c>
      <c r="I94" s="220">
        <v>120.9222</v>
      </c>
      <c r="J94" s="220">
        <v>344.05020000000002</v>
      </c>
      <c r="K94" s="218">
        <f t="shared" si="12"/>
        <v>2.8452194882329298</v>
      </c>
      <c r="L94" s="178">
        <f t="shared" si="13"/>
        <v>2.7703822838055179</v>
      </c>
      <c r="M94" s="219">
        <f t="shared" si="20"/>
        <v>0.73477490484315522</v>
      </c>
      <c r="N94" s="178">
        <f t="shared" si="14"/>
        <v>3.3613423867910703</v>
      </c>
      <c r="O94" s="181" t="s">
        <v>36</v>
      </c>
      <c r="P94" s="216">
        <v>46553</v>
      </c>
      <c r="Q94" s="202"/>
      <c r="R94" s="202"/>
      <c r="S94" s="202">
        <f>P94+Q94+R94</f>
        <v>46553</v>
      </c>
      <c r="T94" s="212">
        <f>(B94/S94)*100</f>
        <v>0.35351191115502761</v>
      </c>
      <c r="U94" s="212"/>
      <c r="V94" s="202">
        <v>39897</v>
      </c>
      <c r="W94" s="202"/>
      <c r="X94" s="202">
        <f t="shared" si="17"/>
        <v>39897</v>
      </c>
      <c r="Y94" s="212">
        <f>(B94/X94)*100</f>
        <v>0.41248815700428604</v>
      </c>
    </row>
    <row r="95" spans="1:25">
      <c r="A95" s="181" t="s">
        <v>37</v>
      </c>
      <c r="B95" s="220">
        <v>1369.7403000000002</v>
      </c>
      <c r="C95" s="220">
        <v>543.6617</v>
      </c>
      <c r="D95" s="217">
        <f t="shared" si="19"/>
        <v>0.39690859646898025</v>
      </c>
      <c r="E95" s="194"/>
      <c r="F95" s="224">
        <v>354.28045000000003</v>
      </c>
      <c r="G95" s="220">
        <v>101.18990000000001</v>
      </c>
      <c r="H95" s="218">
        <f t="shared" si="18"/>
        <v>0.28562089722986406</v>
      </c>
      <c r="I95" s="224">
        <v>1015.4598500000001</v>
      </c>
      <c r="J95" s="220">
        <v>442.47180000000003</v>
      </c>
      <c r="K95" s="218">
        <f t="shared" si="12"/>
        <v>0.43573539613604617</v>
      </c>
      <c r="L95" s="178">
        <f t="shared" si="13"/>
        <v>2.866259907934519</v>
      </c>
      <c r="M95" s="219">
        <f t="shared" si="20"/>
        <v>0.74135210156261</v>
      </c>
      <c r="N95" s="178">
        <f t="shared" si="14"/>
        <v>4.372687392714095</v>
      </c>
      <c r="O95" s="181" t="s">
        <v>37</v>
      </c>
      <c r="P95" s="216">
        <v>65584</v>
      </c>
      <c r="Q95" s="202"/>
      <c r="R95" s="202"/>
      <c r="S95" s="202">
        <f>P95+Q95+R95</f>
        <v>65584</v>
      </c>
      <c r="T95" s="212">
        <f>(B95/S95)*100</f>
        <v>2.0885281471090513</v>
      </c>
      <c r="U95" s="212"/>
      <c r="V95" s="202">
        <v>61420</v>
      </c>
      <c r="W95" s="202"/>
      <c r="X95" s="202">
        <f t="shared" si="17"/>
        <v>61420</v>
      </c>
      <c r="Y95" s="212">
        <f>(B95/X95)*100</f>
        <v>2.2301209703679588</v>
      </c>
    </row>
    <row r="96" spans="1:25">
      <c r="A96" s="181" t="s">
        <v>38</v>
      </c>
      <c r="B96" s="220">
        <v>6041.75</v>
      </c>
      <c r="C96" s="220">
        <v>16370.750000000002</v>
      </c>
      <c r="D96" s="217">
        <f t="shared" si="19"/>
        <v>2.7096040054619941</v>
      </c>
      <c r="E96" s="220"/>
      <c r="F96" s="224">
        <v>3871.4500000000003</v>
      </c>
      <c r="G96" s="220">
        <v>7823.7500000000009</v>
      </c>
      <c r="H96" s="218">
        <f t="shared" si="18"/>
        <v>2.0208836482454897</v>
      </c>
      <c r="I96" s="220">
        <v>2170.3000000000002</v>
      </c>
      <c r="J96" s="220">
        <v>8547</v>
      </c>
      <c r="K96" s="218">
        <f t="shared" si="12"/>
        <v>3.9381652306132788</v>
      </c>
      <c r="L96" s="178">
        <f t="shared" si="13"/>
        <v>0.5605909930387839</v>
      </c>
      <c r="M96" s="219">
        <f t="shared" si="20"/>
        <v>0.35921711424670005</v>
      </c>
      <c r="N96" s="178">
        <f t="shared" si="14"/>
        <v>1.0924428822495604</v>
      </c>
      <c r="O96" s="181" t="s">
        <v>38</v>
      </c>
      <c r="P96" s="216">
        <v>93741</v>
      </c>
      <c r="Q96" s="202"/>
      <c r="R96" s="202"/>
      <c r="S96" s="202">
        <f>P96+Q96+R96</f>
        <v>93741</v>
      </c>
      <c r="T96" s="212">
        <f>(B96/S96)*100</f>
        <v>6.4451520679318541</v>
      </c>
      <c r="U96" s="212"/>
      <c r="V96" s="202">
        <v>73589</v>
      </c>
      <c r="W96" s="202"/>
      <c r="X96" s="202">
        <f t="shared" si="17"/>
        <v>73589</v>
      </c>
      <c r="Y96" s="212">
        <f>(B96/X96)*100</f>
        <v>8.2101265134734813</v>
      </c>
    </row>
    <row r="97" spans="1:25">
      <c r="A97" s="181" t="s">
        <v>39</v>
      </c>
      <c r="B97" s="220">
        <v>30311.429599999999</v>
      </c>
      <c r="C97" s="220">
        <v>83729.406400000007</v>
      </c>
      <c r="D97" s="217">
        <f t="shared" si="19"/>
        <v>2.762304764404778</v>
      </c>
      <c r="E97" s="194"/>
      <c r="F97" s="224">
        <v>8039.3518000000004</v>
      </c>
      <c r="G97" s="220">
        <v>20368.645</v>
      </c>
      <c r="H97" s="218">
        <f t="shared" si="18"/>
        <v>2.5336178222726859</v>
      </c>
      <c r="I97" s="220">
        <v>22272.077799999999</v>
      </c>
      <c r="J97" s="220">
        <v>63368.949800000002</v>
      </c>
      <c r="K97" s="218">
        <f t="shared" si="12"/>
        <v>2.8452194882329302</v>
      </c>
      <c r="L97" s="178">
        <f t="shared" si="13"/>
        <v>2.7703822838055174</v>
      </c>
      <c r="M97" s="219">
        <f t="shared" si="20"/>
        <v>0.73477490484315522</v>
      </c>
      <c r="N97" s="178">
        <f t="shared" si="14"/>
        <v>3.1111028642307823</v>
      </c>
      <c r="O97" s="181" t="s">
        <v>39</v>
      </c>
      <c r="P97" s="216">
        <v>212990</v>
      </c>
      <c r="Q97" s="202">
        <v>37933</v>
      </c>
      <c r="R97" s="202">
        <v>0</v>
      </c>
      <c r="S97" s="202">
        <f>P97+Q97+R97</f>
        <v>250923</v>
      </c>
      <c r="T97" s="212">
        <f>(B97/S97)*100</f>
        <v>12.079972581230098</v>
      </c>
      <c r="U97" s="212"/>
      <c r="V97" s="202">
        <v>187294</v>
      </c>
      <c r="W97" s="202">
        <v>27329</v>
      </c>
      <c r="X97" s="202">
        <f t="shared" si="17"/>
        <v>214623</v>
      </c>
      <c r="Y97" s="212">
        <f>(B97/X97)*100</f>
        <v>14.123104047562471</v>
      </c>
    </row>
    <row r="98" spans="1:25">
      <c r="A98" s="181" t="s">
        <v>40</v>
      </c>
      <c r="B98" s="216">
        <v>616267</v>
      </c>
      <c r="C98" s="216">
        <v>2071512</v>
      </c>
      <c r="D98" s="217">
        <f t="shared" si="19"/>
        <v>3.3613871909415884</v>
      </c>
      <c r="E98" s="194"/>
      <c r="F98" s="216">
        <v>43141</v>
      </c>
      <c r="G98" s="216">
        <v>108405</v>
      </c>
      <c r="H98" s="218">
        <f t="shared" si="18"/>
        <v>2.5128068426786583</v>
      </c>
      <c r="I98" s="216">
        <v>573126</v>
      </c>
      <c r="J98" s="216">
        <v>1963107</v>
      </c>
      <c r="K98" s="218">
        <f t="shared" si="12"/>
        <v>3.4252625077208152</v>
      </c>
      <c r="L98" s="178">
        <f t="shared" si="13"/>
        <v>13.284949352124428</v>
      </c>
      <c r="M98" s="219">
        <f t="shared" si="20"/>
        <v>0.92999625162470168</v>
      </c>
      <c r="N98" s="178">
        <f t="shared" si="14"/>
        <v>18.10900788709008</v>
      </c>
      <c r="O98" s="181" t="s">
        <v>40</v>
      </c>
      <c r="P98" s="216">
        <v>846011</v>
      </c>
      <c r="Q98" s="202">
        <v>254557</v>
      </c>
      <c r="R98" s="202">
        <v>464990</v>
      </c>
      <c r="S98" s="202">
        <f>P98+Q98+R98</f>
        <v>1565558</v>
      </c>
      <c r="T98" s="212">
        <f>(B98/S98)*100</f>
        <v>39.364047834701751</v>
      </c>
      <c r="U98" s="212">
        <f>(I98/R98)*100</f>
        <v>123.25555388287921</v>
      </c>
      <c r="V98" s="202">
        <v>668623</v>
      </c>
      <c r="W98" s="202">
        <v>206553</v>
      </c>
      <c r="X98" s="202">
        <f t="shared" si="17"/>
        <v>875176</v>
      </c>
      <c r="Y98" s="212">
        <f>(B98/X98)*100</f>
        <v>70.416350539777142</v>
      </c>
    </row>
    <row r="99" spans="1:25">
      <c r="A99" s="181" t="s">
        <v>41</v>
      </c>
      <c r="B99" s="224">
        <v>15842.628949999998</v>
      </c>
      <c r="C99" s="220">
        <v>541821.47534999996</v>
      </c>
      <c r="D99" s="217">
        <f t="shared" si="19"/>
        <v>34.200225042195413</v>
      </c>
      <c r="E99" s="194"/>
      <c r="F99" s="224">
        <v>3534.55915</v>
      </c>
      <c r="G99" s="220">
        <v>108311.60845</v>
      </c>
      <c r="H99" s="218">
        <f t="shared" si="18"/>
        <v>30.643597646399552</v>
      </c>
      <c r="I99" s="224">
        <v>12308.069799999999</v>
      </c>
      <c r="J99" s="220">
        <v>433509.86689999996</v>
      </c>
      <c r="K99" s="218">
        <f t="shared" si="12"/>
        <v>35.22159639523656</v>
      </c>
      <c r="L99" s="178">
        <f t="shared" si="13"/>
        <v>3.4822079013729335</v>
      </c>
      <c r="M99" s="219">
        <f t="shared" si="20"/>
        <v>0.77689566793773834</v>
      </c>
      <c r="N99" s="178">
        <f t="shared" si="14"/>
        <v>4.0024321778964405</v>
      </c>
      <c r="O99" s="181" t="s">
        <v>41</v>
      </c>
      <c r="P99" s="216">
        <v>548337</v>
      </c>
      <c r="Q99" s="202">
        <v>43849</v>
      </c>
      <c r="R99" s="202">
        <v>0</v>
      </c>
      <c r="S99" s="202">
        <f>P99+Q99+R99</f>
        <v>592186</v>
      </c>
      <c r="T99" s="212">
        <f>(B99/S99)*100</f>
        <v>2.6752792112613264</v>
      </c>
      <c r="U99" s="212"/>
      <c r="V99" s="202">
        <v>429437</v>
      </c>
      <c r="W99" s="202">
        <v>31509</v>
      </c>
      <c r="X99" s="202">
        <f t="shared" si="17"/>
        <v>460946</v>
      </c>
      <c r="Y99" s="212">
        <f>(B99/X99)*100</f>
        <v>3.4369815444759255</v>
      </c>
    </row>
    <row r="100" spans="1:25">
      <c r="A100" s="181" t="s">
        <v>42</v>
      </c>
      <c r="B100" s="216">
        <v>154928</v>
      </c>
      <c r="C100" s="216">
        <v>591929</v>
      </c>
      <c r="D100" s="217">
        <f t="shared" si="19"/>
        <v>3.8206715377465663</v>
      </c>
      <c r="E100" s="194"/>
      <c r="F100" s="216">
        <v>35514</v>
      </c>
      <c r="G100" s="216">
        <v>124672</v>
      </c>
      <c r="H100" s="218">
        <f t="shared" si="18"/>
        <v>3.5105029002646844</v>
      </c>
      <c r="I100" s="216">
        <v>119414</v>
      </c>
      <c r="J100" s="216">
        <v>467257</v>
      </c>
      <c r="K100" s="218">
        <f t="shared" si="12"/>
        <v>3.9129164084613195</v>
      </c>
      <c r="L100" s="178">
        <f t="shared" si="13"/>
        <v>3.3624486118150587</v>
      </c>
      <c r="M100" s="219">
        <f t="shared" si="20"/>
        <v>0.77077093875864922</v>
      </c>
      <c r="N100" s="178">
        <f t="shared" si="14"/>
        <v>3.7478904645790556</v>
      </c>
      <c r="O100" s="181" t="s">
        <v>42</v>
      </c>
      <c r="P100" s="216">
        <v>988391</v>
      </c>
      <c r="Q100" s="202">
        <v>104570</v>
      </c>
      <c r="R100" s="202">
        <v>2603</v>
      </c>
      <c r="S100" s="202">
        <f>P100+Q100+R100</f>
        <v>1095564</v>
      </c>
      <c r="T100" s="212">
        <f>(B100/S100)*100</f>
        <v>14.141392013611254</v>
      </c>
      <c r="U100" s="212">
        <f>(I100/R100)*100</f>
        <v>4587.5528236650016</v>
      </c>
      <c r="V100" s="202">
        <v>786067</v>
      </c>
      <c r="W100" s="202">
        <v>77846</v>
      </c>
      <c r="X100" s="202">
        <f t="shared" si="17"/>
        <v>863913</v>
      </c>
      <c r="Y100" s="212">
        <f>(B100/X100)*100</f>
        <v>17.933287263879581</v>
      </c>
    </row>
    <row r="101" spans="1:25">
      <c r="A101" s="181" t="s">
        <v>43</v>
      </c>
      <c r="B101" s="216">
        <v>5746</v>
      </c>
      <c r="C101" s="216">
        <v>16721</v>
      </c>
      <c r="D101" s="217">
        <f t="shared" si="19"/>
        <v>2.910024364775496</v>
      </c>
      <c r="E101" s="194"/>
      <c r="F101" s="216">
        <v>2107</v>
      </c>
      <c r="G101" s="216">
        <v>6084</v>
      </c>
      <c r="H101" s="218">
        <f t="shared" si="18"/>
        <v>2.887517797816801</v>
      </c>
      <c r="I101" s="216">
        <v>3639</v>
      </c>
      <c r="J101" s="216">
        <v>10637</v>
      </c>
      <c r="K101" s="218">
        <f t="shared" si="12"/>
        <v>2.9230557845561966</v>
      </c>
      <c r="L101" s="178">
        <f t="shared" si="13"/>
        <v>1.7271001423825345</v>
      </c>
      <c r="M101" s="219">
        <f t="shared" si="20"/>
        <v>0.63331012878524195</v>
      </c>
      <c r="N101" s="178">
        <f t="shared" si="14"/>
        <v>1.7483563445101906</v>
      </c>
      <c r="O101" s="181" t="s">
        <v>43</v>
      </c>
      <c r="P101" s="216">
        <v>81275</v>
      </c>
      <c r="Q101" s="202"/>
      <c r="R101" s="202"/>
      <c r="S101" s="202">
        <f>P101+Q101+R101</f>
        <v>81275</v>
      </c>
      <c r="T101" s="212">
        <f>(B101/S101)*100</f>
        <v>7.0698246693325126</v>
      </c>
      <c r="U101" s="212"/>
      <c r="V101" s="202">
        <v>68259</v>
      </c>
      <c r="W101" s="202"/>
      <c r="X101" s="202">
        <f t="shared" si="17"/>
        <v>68259</v>
      </c>
      <c r="Y101" s="212">
        <f>(B101/X101)*100</f>
        <v>8.4179375613472214</v>
      </c>
    </row>
    <row r="102" spans="1:25">
      <c r="A102" s="181" t="s">
        <v>44</v>
      </c>
      <c r="B102" s="202">
        <v>0</v>
      </c>
      <c r="C102" s="202">
        <v>0</v>
      </c>
      <c r="D102" s="202">
        <v>0</v>
      </c>
      <c r="E102" s="202">
        <v>0</v>
      </c>
      <c r="F102" s="202">
        <v>0</v>
      </c>
      <c r="G102" s="202">
        <v>0</v>
      </c>
      <c r="H102" s="223">
        <v>0</v>
      </c>
      <c r="I102" s="202">
        <v>0</v>
      </c>
      <c r="J102" s="202">
        <v>0</v>
      </c>
      <c r="K102" s="223">
        <v>0</v>
      </c>
      <c r="L102" s="178">
        <v>0</v>
      </c>
      <c r="M102" s="219">
        <v>0</v>
      </c>
      <c r="N102" s="219">
        <v>0</v>
      </c>
      <c r="O102" s="181" t="s">
        <v>44</v>
      </c>
      <c r="P102" s="216">
        <v>18927</v>
      </c>
      <c r="Q102" s="202"/>
      <c r="R102" s="202"/>
      <c r="S102" s="202">
        <f>P102+Q102+R102</f>
        <v>18927</v>
      </c>
      <c r="T102" s="212">
        <f>(B102/S102)*100</f>
        <v>0</v>
      </c>
      <c r="U102" s="212"/>
      <c r="V102" s="202">
        <v>15655</v>
      </c>
      <c r="W102" s="202"/>
      <c r="X102" s="202">
        <f t="shared" si="17"/>
        <v>15655</v>
      </c>
      <c r="Y102" s="212">
        <f>(B102/X102)*100</f>
        <v>0</v>
      </c>
    </row>
    <row r="103" spans="1:25">
      <c r="A103" s="181" t="s">
        <v>45</v>
      </c>
      <c r="B103" s="222">
        <v>931.66880000000003</v>
      </c>
      <c r="C103" s="220">
        <v>3008.16</v>
      </c>
      <c r="D103" s="217">
        <f t="shared" si="19"/>
        <v>3.22878688220535</v>
      </c>
      <c r="E103" s="194"/>
      <c r="F103" s="222">
        <v>99.708200000000005</v>
      </c>
      <c r="G103" s="220">
        <v>372.59999999999997</v>
      </c>
      <c r="H103" s="218">
        <f t="shared" si="18"/>
        <v>3.7369042867086151</v>
      </c>
      <c r="I103" s="222">
        <v>831.9606</v>
      </c>
      <c r="J103" s="220">
        <v>2635.56</v>
      </c>
      <c r="K103" s="218">
        <f t="shared" si="12"/>
        <v>3.1678904025022336</v>
      </c>
      <c r="L103" s="178">
        <f t="shared" si="13"/>
        <v>8.3439536567704558</v>
      </c>
      <c r="M103" s="219">
        <f t="shared" si="20"/>
        <v>0.89297892126472411</v>
      </c>
      <c r="N103" s="178">
        <f t="shared" si="14"/>
        <v>7.0734299516908221</v>
      </c>
      <c r="O103" s="181" t="s">
        <v>45</v>
      </c>
      <c r="P103" s="216">
        <v>10964</v>
      </c>
      <c r="Q103" s="202"/>
      <c r="R103" s="202"/>
      <c r="S103" s="202">
        <f>P103+Q103+R103</f>
        <v>10964</v>
      </c>
      <c r="T103" s="212">
        <f>(B103/S103)*100</f>
        <v>8.4975264502006578</v>
      </c>
      <c r="U103" s="212"/>
      <c r="V103" s="202">
        <v>9032</v>
      </c>
      <c r="W103" s="202"/>
      <c r="X103" s="202">
        <f t="shared" si="17"/>
        <v>9032</v>
      </c>
      <c r="Y103" s="212">
        <f>(B103/X103)*100</f>
        <v>10.315199291408327</v>
      </c>
    </row>
    <row r="104" spans="1:25">
      <c r="A104" s="181" t="s">
        <v>46</v>
      </c>
      <c r="B104" s="216">
        <v>19691</v>
      </c>
      <c r="C104" s="216">
        <v>54860</v>
      </c>
      <c r="D104" s="217">
        <f t="shared" si="19"/>
        <v>2.7860443857599919</v>
      </c>
      <c r="E104" s="216"/>
      <c r="F104" s="216">
        <v>5348</v>
      </c>
      <c r="G104" s="216">
        <v>13733</v>
      </c>
      <c r="H104" s="218">
        <f t="shared" si="18"/>
        <v>2.567875841436051</v>
      </c>
      <c r="I104" s="216">
        <v>14343</v>
      </c>
      <c r="J104" s="216">
        <v>41127</v>
      </c>
      <c r="K104" s="218">
        <f t="shared" si="12"/>
        <v>2.8673917590462246</v>
      </c>
      <c r="L104" s="178">
        <f t="shared" si="13"/>
        <v>2.6819371727748691</v>
      </c>
      <c r="M104" s="219">
        <f t="shared" si="20"/>
        <v>0.72840383931745467</v>
      </c>
      <c r="N104" s="178">
        <f t="shared" si="14"/>
        <v>2.9947571542998617</v>
      </c>
      <c r="O104" s="181" t="s">
        <v>46</v>
      </c>
      <c r="P104" s="216">
        <v>135725</v>
      </c>
      <c r="Q104" s="202"/>
      <c r="R104" s="202"/>
      <c r="S104" s="202">
        <f>P104+Q104+R104</f>
        <v>135725</v>
      </c>
      <c r="T104" s="212">
        <f>(B104/S104)*100</f>
        <v>14.508012525326947</v>
      </c>
      <c r="U104" s="212"/>
      <c r="V104" s="202">
        <v>116889</v>
      </c>
      <c r="W104" s="202"/>
      <c r="X104" s="202">
        <f t="shared" si="17"/>
        <v>116889</v>
      </c>
      <c r="Y104" s="212">
        <f>(B104/X104)*100</f>
        <v>16.845896534318882</v>
      </c>
    </row>
    <row r="105" spans="1:25">
      <c r="A105" s="181" t="s">
        <v>47</v>
      </c>
      <c r="B105" s="216">
        <v>68901</v>
      </c>
      <c r="C105" s="216">
        <v>227863</v>
      </c>
      <c r="D105" s="217">
        <f t="shared" si="19"/>
        <v>3.3071072988781003</v>
      </c>
      <c r="E105" s="194"/>
      <c r="F105" s="216">
        <v>46612</v>
      </c>
      <c r="G105" s="216">
        <v>138808</v>
      </c>
      <c r="H105" s="218">
        <f t="shared" si="18"/>
        <v>2.9779455934094226</v>
      </c>
      <c r="I105" s="216">
        <v>22289</v>
      </c>
      <c r="J105" s="216">
        <v>89055</v>
      </c>
      <c r="K105" s="218">
        <f t="shared" si="12"/>
        <v>3.9954686168064963</v>
      </c>
      <c r="L105" s="178">
        <f t="shared" si="13"/>
        <v>0.47818158414142281</v>
      </c>
      <c r="M105" s="219">
        <f t="shared" si="20"/>
        <v>0.32349312782107664</v>
      </c>
      <c r="N105" s="178">
        <f t="shared" si="14"/>
        <v>0.64156965016425571</v>
      </c>
      <c r="O105" s="181" t="s">
        <v>47</v>
      </c>
      <c r="P105" s="216">
        <v>364776</v>
      </c>
      <c r="Q105" s="202">
        <v>4980</v>
      </c>
      <c r="R105" s="202">
        <v>0</v>
      </c>
      <c r="S105" s="202">
        <f>P105+Q105+R105</f>
        <v>369756</v>
      </c>
      <c r="T105" s="212">
        <f>(B105/S105)*100</f>
        <v>18.63418037841171</v>
      </c>
      <c r="U105" s="212"/>
      <c r="V105" s="202">
        <v>186020</v>
      </c>
      <c r="W105" s="202">
        <v>1396</v>
      </c>
      <c r="X105" s="202">
        <f t="shared" si="17"/>
        <v>187416</v>
      </c>
      <c r="Y105" s="212">
        <f>(B105/X105)*100</f>
        <v>36.763670124215651</v>
      </c>
    </row>
    <row r="106" spans="1:25">
      <c r="A106" s="181" t="s">
        <v>48</v>
      </c>
      <c r="B106" s="216">
        <v>63792</v>
      </c>
      <c r="C106" s="216">
        <v>138807</v>
      </c>
      <c r="D106" s="217">
        <f t="shared" si="19"/>
        <v>2.1759311512415351</v>
      </c>
      <c r="E106" s="194"/>
      <c r="F106" s="216">
        <v>55715</v>
      </c>
      <c r="G106" s="216">
        <v>114766</v>
      </c>
      <c r="H106" s="218">
        <f t="shared" si="18"/>
        <v>2.0598761554339049</v>
      </c>
      <c r="I106" s="216">
        <v>8077</v>
      </c>
      <c r="J106" s="216">
        <v>24041</v>
      </c>
      <c r="K106" s="218">
        <f t="shared" si="12"/>
        <v>2.976476414510338</v>
      </c>
      <c r="L106" s="178">
        <f t="shared" si="13"/>
        <v>0.14496993628286817</v>
      </c>
      <c r="M106" s="219">
        <f t="shared" si="20"/>
        <v>0.12661462252320041</v>
      </c>
      <c r="N106" s="178">
        <f t="shared" si="14"/>
        <v>0.20947841695275604</v>
      </c>
      <c r="O106" s="181" t="s">
        <v>48</v>
      </c>
      <c r="P106" s="216">
        <v>500681</v>
      </c>
      <c r="Q106" s="202"/>
      <c r="R106" s="202"/>
      <c r="S106" s="202">
        <f>P106+Q106+R106</f>
        <v>500681</v>
      </c>
      <c r="T106" s="212">
        <f>(B106/S106)*100</f>
        <v>12.741046694402225</v>
      </c>
      <c r="U106" s="212"/>
      <c r="V106" s="202">
        <v>380981</v>
      </c>
      <c r="W106" s="202"/>
      <c r="X106" s="202">
        <f t="shared" si="17"/>
        <v>380981</v>
      </c>
      <c r="Y106" s="212">
        <f>(B106/X106)*100</f>
        <v>16.744142096325014</v>
      </c>
    </row>
    <row r="107" spans="1:25">
      <c r="A107" s="181" t="s">
        <v>49</v>
      </c>
      <c r="B107" s="224">
        <v>24876.331200000001</v>
      </c>
      <c r="C107" s="224">
        <v>80551.839999999997</v>
      </c>
      <c r="D107" s="217">
        <f t="shared" si="19"/>
        <v>3.2380916362779408</v>
      </c>
      <c r="E107" s="194"/>
      <c r="F107" s="224">
        <v>2662.2918</v>
      </c>
      <c r="G107" s="224">
        <v>9977.4</v>
      </c>
      <c r="H107" s="218">
        <f t="shared" si="18"/>
        <v>3.7476733391884389</v>
      </c>
      <c r="I107" s="224">
        <v>22214.039400000001</v>
      </c>
      <c r="J107" s="224">
        <v>70574.44</v>
      </c>
      <c r="K107" s="218">
        <f t="shared" si="12"/>
        <v>3.1770196644199702</v>
      </c>
      <c r="L107" s="178">
        <f t="shared" si="13"/>
        <v>8.3439536567704575</v>
      </c>
      <c r="M107" s="219">
        <f t="shared" si="20"/>
        <v>0.89297892126472411</v>
      </c>
      <c r="N107" s="178">
        <f t="shared" si="14"/>
        <v>7.0734299516908221</v>
      </c>
      <c r="O107" s="181" t="s">
        <v>49</v>
      </c>
      <c r="P107" s="216">
        <v>51605</v>
      </c>
      <c r="Q107" s="202"/>
      <c r="R107" s="202"/>
      <c r="S107" s="202">
        <f>P107+Q107+R107</f>
        <v>51605</v>
      </c>
      <c r="T107" s="212">
        <f>(B107/S107)*100</f>
        <v>48.205273132448404</v>
      </c>
      <c r="U107" s="212"/>
      <c r="V107" s="202">
        <v>47941</v>
      </c>
      <c r="W107" s="202"/>
      <c r="X107" s="202">
        <f t="shared" si="17"/>
        <v>47941</v>
      </c>
      <c r="Y107" s="212">
        <f>(B107/X107)*100</f>
        <v>51.889470807868008</v>
      </c>
    </row>
    <row r="108" spans="1:25">
      <c r="A108" s="225" t="s">
        <v>192</v>
      </c>
      <c r="C108" s="226"/>
      <c r="D108" s="226"/>
      <c r="E108" s="226"/>
    </row>
    <row r="109" spans="1:25">
      <c r="A109" s="227" t="s">
        <v>193</v>
      </c>
    </row>
    <row r="110" spans="1:25">
      <c r="A110" s="228" t="s">
        <v>194</v>
      </c>
    </row>
    <row r="111" spans="1:25">
      <c r="A111" s="201" t="s">
        <v>195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2"/>
  <sheetViews>
    <sheetView workbookViewId="0">
      <selection activeCell="D2" sqref="D2"/>
    </sheetView>
  </sheetViews>
  <sheetFormatPr defaultRowHeight="15"/>
  <cols>
    <col min="5" max="5" width="10.5703125" customWidth="1"/>
    <col min="6" max="6" width="11.42578125" customWidth="1"/>
    <col min="7" max="7" width="10.85546875" customWidth="1"/>
  </cols>
  <sheetData>
    <row r="1" spans="1:7">
      <c r="B1" s="247" t="s">
        <v>190</v>
      </c>
    </row>
    <row r="2" spans="1:7" ht="75">
      <c r="A2" s="244" t="s">
        <v>58</v>
      </c>
      <c r="B2" s="245" t="s">
        <v>65</v>
      </c>
      <c r="C2" s="246" t="s">
        <v>191</v>
      </c>
      <c r="D2" s="245" t="s">
        <v>66</v>
      </c>
      <c r="E2" s="161" t="s">
        <v>68</v>
      </c>
      <c r="F2" s="161" t="s">
        <v>299</v>
      </c>
      <c r="G2" s="161" t="s">
        <v>71</v>
      </c>
    </row>
    <row r="3" spans="1:7">
      <c r="A3" s="60" t="s">
        <v>56</v>
      </c>
      <c r="B3" s="6">
        <f>demand!I58/demand!F58</f>
        <v>1.9059835241532441</v>
      </c>
      <c r="C3" s="6">
        <f>demand!I58/demand!B58</f>
        <v>0.65588242614301007</v>
      </c>
      <c r="D3" s="6">
        <f>demand!J58/demand!G58</f>
        <v>3.2897938843296908</v>
      </c>
      <c r="E3" s="6">
        <f>demand!B58/demand!S58</f>
        <v>0.31488861458884382</v>
      </c>
      <c r="F3" s="6">
        <f>demand!I58/demand!R58</f>
        <v>1.2912926303410428</v>
      </c>
      <c r="G3" s="6">
        <f>demand!B58/demand!X58</f>
        <v>0.96071675366255482</v>
      </c>
    </row>
    <row r="4" spans="1:7">
      <c r="A4" s="1" t="s">
        <v>1</v>
      </c>
      <c r="B4" s="6"/>
      <c r="C4" s="6"/>
      <c r="D4" s="6"/>
      <c r="E4" s="6">
        <f>demand!B59/demand!S59</f>
        <v>0</v>
      </c>
      <c r="F4" s="6"/>
      <c r="G4" s="6">
        <f>demand!B59/demand!X59</f>
        <v>0</v>
      </c>
    </row>
    <row r="5" spans="1:7">
      <c r="A5" s="1" t="s">
        <v>2</v>
      </c>
      <c r="B5" s="6">
        <f>demand!I60/demand!F60</f>
        <v>1.3601377835847488</v>
      </c>
      <c r="C5" s="6">
        <f>demand!I60/demand!B60</f>
        <v>0.57629592350276804</v>
      </c>
      <c r="D5" s="6">
        <f>demand!J60/demand!G60</f>
        <v>2.9406133144577193</v>
      </c>
      <c r="E5" s="6">
        <f>demand!B60/demand!S60</f>
        <v>0.30413885997673423</v>
      </c>
      <c r="F5" s="6">
        <f>demand!I60/demand!R60</f>
        <v>1.1767345470738348</v>
      </c>
      <c r="G5" s="6">
        <f>demand!B60/demand!X60</f>
        <v>1.0478391942132417</v>
      </c>
    </row>
    <row r="6" spans="1:7">
      <c r="A6" s="1" t="s">
        <v>3</v>
      </c>
      <c r="B6" s="6">
        <f>demand!I61/demand!F61</f>
        <v>1.0230627853204481</v>
      </c>
      <c r="C6" s="6">
        <f>demand!I61/demand!B61</f>
        <v>0.50569996776367843</v>
      </c>
      <c r="D6" s="6">
        <f>demand!J61/demand!G61</f>
        <v>1.9920466417281704</v>
      </c>
      <c r="E6" s="6">
        <f>demand!B61/demand!S61</f>
        <v>0.22578724136333861</v>
      </c>
      <c r="F6" s="6">
        <f>demand!I61/demand!R61</f>
        <v>1.7999374152498175</v>
      </c>
      <c r="G6" s="6">
        <f>demand!B61/demand!X61</f>
        <v>0.46081026333558406</v>
      </c>
    </row>
    <row r="7" spans="1:7">
      <c r="A7" s="1" t="s">
        <v>4</v>
      </c>
      <c r="B7" s="6">
        <f>demand!I62/demand!F62</f>
        <v>0.46493756003842457</v>
      </c>
      <c r="C7" s="6">
        <f>demand!I62/demand!B62</f>
        <v>0.31737704918032789</v>
      </c>
      <c r="D7" s="6">
        <f>demand!J62/demand!G62</f>
        <v>0.5700684817103725</v>
      </c>
      <c r="E7" s="6">
        <f>demand!B62/demand!S62</f>
        <v>0.12259051064135897</v>
      </c>
      <c r="F7" s="6"/>
      <c r="G7" s="6">
        <f>demand!B62/demand!X62</f>
        <v>0.19882927479707319</v>
      </c>
    </row>
    <row r="8" spans="1:7">
      <c r="A8" s="1" t="s">
        <v>5</v>
      </c>
      <c r="B8" s="6">
        <f>demand!I63/demand!F63</f>
        <v>0.46493756003842451</v>
      </c>
      <c r="C8" s="6">
        <f>demand!I63/demand!B63</f>
        <v>0.31737704918032783</v>
      </c>
      <c r="D8" s="6">
        <f>demand!J63/demand!G63</f>
        <v>0.5700684817103725</v>
      </c>
      <c r="E8" s="6">
        <f>demand!B63/demand!S63</f>
        <v>3.0992104359766567E-2</v>
      </c>
      <c r="F8" s="6"/>
      <c r="G8" s="6">
        <f>demand!B63/demand!X63</f>
        <v>5.9512195121951224E-2</v>
      </c>
    </row>
    <row r="9" spans="1:7">
      <c r="A9" s="1" t="s">
        <v>6</v>
      </c>
      <c r="B9" s="6">
        <f>demand!I64/demand!F64</f>
        <v>4.4532787139620771</v>
      </c>
      <c r="C9" s="6">
        <f>demand!I64/demand!B64</f>
        <v>0.81662408021807298</v>
      </c>
      <c r="D9" s="6">
        <f>demand!J64/demand!G64</f>
        <v>6.06294920291813</v>
      </c>
      <c r="E9" s="6">
        <f>demand!B64/demand!S64</f>
        <v>0.5592879399847861</v>
      </c>
      <c r="F9" s="6">
        <f>demand!I64/demand!R64</f>
        <v>1.0605207340236051</v>
      </c>
      <c r="G9" s="6">
        <f>demand!B64/demand!X64</f>
        <v>2.9543864958472041</v>
      </c>
    </row>
    <row r="10" spans="1:7">
      <c r="A10" s="1" t="s">
        <v>7</v>
      </c>
      <c r="B10" s="6">
        <f>demand!I65/demand!F65</f>
        <v>0.99505561878837556</v>
      </c>
      <c r="C10" s="6">
        <f>demand!I65/demand!B65</f>
        <v>0.49876084126049897</v>
      </c>
      <c r="D10" s="6">
        <f>demand!J65/demand!G65</f>
        <v>1.0404674169239452</v>
      </c>
      <c r="E10" s="6">
        <f>demand!B65/demand!S65</f>
        <v>0.21435884003852801</v>
      </c>
      <c r="F10" s="6">
        <f>demand!I65/demand!R65</f>
        <v>37.254829680677545</v>
      </c>
      <c r="G10" s="6">
        <f>demand!B65/demand!X65</f>
        <v>0.65196676255325214</v>
      </c>
    </row>
    <row r="11" spans="1:7">
      <c r="A11" s="1" t="s">
        <v>8</v>
      </c>
      <c r="B11" s="6"/>
      <c r="C11" s="6"/>
      <c r="D11" s="6"/>
      <c r="E11" s="6">
        <f>demand!B66/demand!S66</f>
        <v>0</v>
      </c>
      <c r="F11" s="6"/>
      <c r="G11" s="6">
        <f>demand!B66/demand!X66</f>
        <v>0</v>
      </c>
    </row>
    <row r="12" spans="1:7">
      <c r="A12" s="1" t="s">
        <v>9</v>
      </c>
      <c r="B12" s="6">
        <f>demand!I67/demand!F67</f>
        <v>1.0234827679052234</v>
      </c>
      <c r="C12" s="6">
        <f>demand!I67/demand!B67</f>
        <v>0.50580256186948735</v>
      </c>
      <c r="D12" s="6">
        <f>demand!J67/demand!G67</f>
        <v>1.0404674169239452</v>
      </c>
      <c r="E12" s="6">
        <f>demand!B67/demand!S67</f>
        <v>0.12092713992945756</v>
      </c>
      <c r="F12" s="6"/>
      <c r="G12" s="6">
        <f>demand!B67/demand!X67</f>
        <v>0.21567525911062907</v>
      </c>
    </row>
    <row r="13" spans="1:7">
      <c r="A13" s="9" t="s">
        <v>57</v>
      </c>
      <c r="B13" s="6">
        <f>demand!I68/demand!F68</f>
        <v>8.4572309997495285</v>
      </c>
      <c r="C13" s="6">
        <f>demand!I68/demand!B68</f>
        <v>0.89426080424317811</v>
      </c>
      <c r="D13" s="6">
        <f>demand!J68/demand!G68</f>
        <v>14.625578772536359</v>
      </c>
      <c r="E13" s="6">
        <f>demand!B68/demand!S68</f>
        <v>0.41500980721434189</v>
      </c>
      <c r="F13" s="6">
        <f>demand!I68/demand!R68</f>
        <v>1.1246756529449717</v>
      </c>
      <c r="G13" s="6">
        <f>demand!B68/demand!X68</f>
        <v>0.89001290877436467</v>
      </c>
    </row>
    <row r="14" spans="1:7">
      <c r="A14" s="1" t="s">
        <v>11</v>
      </c>
      <c r="B14" s="6"/>
      <c r="C14" s="6"/>
      <c r="D14" s="6"/>
      <c r="E14" s="6">
        <f>demand!B69/demand!S69</f>
        <v>0</v>
      </c>
      <c r="F14" s="6"/>
      <c r="G14" s="6">
        <f>demand!B69/demand!X69</f>
        <v>0</v>
      </c>
    </row>
    <row r="15" spans="1:7">
      <c r="A15" s="1" t="s">
        <v>12</v>
      </c>
      <c r="B15" s="6">
        <f>demand!I70/demand!F70</f>
        <v>1.4324853228962817</v>
      </c>
      <c r="C15" s="6">
        <f>demand!I70/demand!B70</f>
        <v>0.58889782783588096</v>
      </c>
      <c r="D15" s="6">
        <f>demand!J70/demand!G70</f>
        <v>1.3155478150728308</v>
      </c>
      <c r="E15" s="6">
        <f>demand!B70/demand!S70</f>
        <v>0.12413448735019973</v>
      </c>
      <c r="F15" s="6"/>
      <c r="G15" s="6">
        <f>demand!B70/demand!X70</f>
        <v>0.16491243587475676</v>
      </c>
    </row>
    <row r="16" spans="1:7">
      <c r="A16" s="1" t="s">
        <v>13</v>
      </c>
      <c r="B16" s="6">
        <f>demand!I71/demand!F71</f>
        <v>2.6040294459511819</v>
      </c>
      <c r="C16" s="6">
        <f>demand!I71/demand!B71</f>
        <v>0.72253278864760262</v>
      </c>
      <c r="D16" s="6">
        <f>demand!J71/demand!G71</f>
        <v>4.9253538018709522</v>
      </c>
      <c r="E16" s="6">
        <f>demand!B71/demand!S71</f>
        <v>0.14279793064275956</v>
      </c>
      <c r="F16" s="6"/>
      <c r="G16" s="6">
        <f>demand!B71/demand!X71</f>
        <v>0.28258954339702891</v>
      </c>
    </row>
    <row r="17" spans="1:7">
      <c r="A17" s="1" t="s">
        <v>14</v>
      </c>
      <c r="B17" s="6">
        <f>demand!I72/demand!F72</f>
        <v>7.4876758900746054</v>
      </c>
      <c r="C17" s="6">
        <f>demand!I72/demand!B72</f>
        <v>0.88218211758422715</v>
      </c>
      <c r="D17" s="6">
        <f>demand!J72/demand!G72</f>
        <v>11.526730531520395</v>
      </c>
      <c r="E17" s="6">
        <f>demand!B72/demand!S72</f>
        <v>0.59042410516208077</v>
      </c>
      <c r="F17" s="6">
        <f>demand!I72/demand!R72</f>
        <v>0.80136838244284136</v>
      </c>
      <c r="G17" s="6">
        <f>demand!B72/demand!X72</f>
        <v>3.8414835624111334</v>
      </c>
    </row>
    <row r="18" spans="1:7">
      <c r="A18" s="1" t="s">
        <v>15</v>
      </c>
      <c r="B18" s="6">
        <f>demand!I73/demand!F73</f>
        <v>7.4876758900746063</v>
      </c>
      <c r="C18" s="6">
        <f>demand!I73/demand!B73</f>
        <v>0.88218211758422715</v>
      </c>
      <c r="D18" s="6">
        <f>demand!J73/demand!G73</f>
        <v>11.526730531520395</v>
      </c>
      <c r="E18" s="6">
        <f>demand!B73/demand!S73</f>
        <v>8.6180990051540216E-2</v>
      </c>
      <c r="F18" s="6"/>
      <c r="G18" s="6">
        <f>demand!B73/demand!X73</f>
        <v>0.13808488573074709</v>
      </c>
    </row>
    <row r="19" spans="1:7">
      <c r="A19" s="1" t="s">
        <v>16</v>
      </c>
      <c r="B19" s="6">
        <f>demand!I74/demand!F74</f>
        <v>18.492256753706073</v>
      </c>
      <c r="C19" s="6">
        <f>demand!I74/demand!B74</f>
        <v>0.94869757706172886</v>
      </c>
      <c r="D19" s="6">
        <f>demand!J74/demand!G74</f>
        <v>35.913812773102009</v>
      </c>
      <c r="E19" s="6">
        <f>demand!B74/demand!S74</f>
        <v>0.81168160516001586</v>
      </c>
      <c r="F19" s="6">
        <f>demand!I74/demand!R74</f>
        <v>1.074295536672137</v>
      </c>
      <c r="G19" s="6">
        <f>demand!B74/demand!X74</f>
        <v>7.6950585523227835</v>
      </c>
    </row>
    <row r="20" spans="1:7">
      <c r="A20" s="1" t="s">
        <v>17</v>
      </c>
      <c r="B20" s="6">
        <f>demand!I75/demand!F75</f>
        <v>2.5158953127310366</v>
      </c>
      <c r="C20" s="6">
        <f>demand!I75/demand!B75</f>
        <v>0.71557742451005124</v>
      </c>
      <c r="D20" s="6">
        <f>demand!J75/demand!G75</f>
        <v>3.9576968272620445</v>
      </c>
      <c r="E20" s="6">
        <f>demand!B75/demand!S75</f>
        <v>0.13481966310690299</v>
      </c>
      <c r="F20" s="6"/>
      <c r="G20" s="6">
        <f>demand!B75/demand!X75</f>
        <v>0.18400706235912848</v>
      </c>
    </row>
    <row r="21" spans="1:7">
      <c r="A21" s="1" t="s">
        <v>18</v>
      </c>
      <c r="B21" s="6">
        <f>demand!I76/demand!F76</f>
        <v>2.5158953127310366</v>
      </c>
      <c r="C21" s="6">
        <f>demand!I76/demand!B76</f>
        <v>0.71557742451005124</v>
      </c>
      <c r="D21" s="6">
        <f>demand!J76/demand!G76</f>
        <v>3.9576968272620445</v>
      </c>
      <c r="E21" s="6">
        <f>demand!B76/demand!S76</f>
        <v>0.25109621746347555</v>
      </c>
      <c r="F21" s="6"/>
      <c r="G21" s="6">
        <f>demand!B76/demand!X76</f>
        <v>0.52242060401205093</v>
      </c>
    </row>
    <row r="22" spans="1:7">
      <c r="A22" s="1" t="s">
        <v>19</v>
      </c>
      <c r="B22" s="6">
        <f>demand!I77/demand!F77</f>
        <v>12.569396164346397</v>
      </c>
      <c r="C22" s="6">
        <f>demand!I77/demand!B77</f>
        <v>0.92630475314535354</v>
      </c>
      <c r="D22" s="6">
        <f>demand!J77/demand!G77</f>
        <v>24.316459645134852</v>
      </c>
      <c r="E22" s="6">
        <f>demand!B77/demand!S77</f>
        <v>4.1409119017297248E-2</v>
      </c>
      <c r="F22" s="6"/>
      <c r="G22" s="6">
        <f>demand!B77/demand!X77</f>
        <v>0.41842838898843465</v>
      </c>
    </row>
    <row r="23" spans="1:7">
      <c r="A23" s="1" t="s">
        <v>20</v>
      </c>
      <c r="B23" s="6">
        <f>demand!I78/demand!F78</f>
        <v>0.54260089686098656</v>
      </c>
      <c r="C23" s="6">
        <f>demand!I78/demand!B78</f>
        <v>0.35174418604651164</v>
      </c>
      <c r="D23" s="6">
        <f>demand!J78/demand!G78</f>
        <v>0.54800257731958768</v>
      </c>
      <c r="E23" s="6">
        <f>demand!B78/demand!S78</f>
        <v>0.13159278917419787</v>
      </c>
      <c r="F23" s="6"/>
      <c r="G23" s="6">
        <f>demand!B78/demand!X78</f>
        <v>0.33987896751883412</v>
      </c>
    </row>
    <row r="24" spans="1:7">
      <c r="A24" s="1" t="s">
        <v>21</v>
      </c>
      <c r="B24" s="6">
        <f>demand!I79/demand!F79</f>
        <v>1.0846808510638297</v>
      </c>
      <c r="C24" s="6">
        <f>demand!I79/demand!B79</f>
        <v>0.52031026740151054</v>
      </c>
      <c r="D24" s="6">
        <f>demand!J79/demand!G79</f>
        <v>1.1667314117007226</v>
      </c>
      <c r="E24" s="6">
        <f>demand!B79/demand!S79</f>
        <v>0.29756192373571105</v>
      </c>
      <c r="F24" s="6"/>
      <c r="G24" s="6">
        <f>demand!B79/demand!X79</f>
        <v>0.42160794505929533</v>
      </c>
    </row>
    <row r="25" spans="1:7">
      <c r="A25" s="1" t="s">
        <v>22</v>
      </c>
      <c r="B25" s="6">
        <f>demand!I80/demand!F80</f>
        <v>12.569396164346397</v>
      </c>
      <c r="C25" s="6">
        <f>demand!I80/demand!B80</f>
        <v>0.92630475314535354</v>
      </c>
      <c r="D25" s="6">
        <f>demand!J80/demand!G80</f>
        <v>24.316459645134852</v>
      </c>
      <c r="E25" s="6">
        <f>demand!B80/demand!S80</f>
        <v>0.80467807146929238</v>
      </c>
      <c r="F25" s="6">
        <f>demand!I80/demand!R80</f>
        <v>0.9791054228661874</v>
      </c>
      <c r="G25" s="6">
        <f>demand!B80/demand!X80</f>
        <v>10.144912423409171</v>
      </c>
    </row>
    <row r="26" spans="1:7">
      <c r="A26" s="1" t="s">
        <v>23</v>
      </c>
      <c r="B26" s="6">
        <f>demand!I81/demand!F81</f>
        <v>2.1246383799421409</v>
      </c>
      <c r="C26" s="6">
        <f>demand!I81/demand!B81</f>
        <v>0.6799629658205385</v>
      </c>
      <c r="D26" s="6">
        <f>demand!J81/demand!G81</f>
        <v>3.8944736615225453</v>
      </c>
      <c r="E26" s="6">
        <f>demand!B81/demand!S81</f>
        <v>5.6378870752401056E-2</v>
      </c>
      <c r="F26" s="6"/>
      <c r="G26" s="6">
        <f>demand!B81/demand!X81</f>
        <v>6.9379955480178085E-2</v>
      </c>
    </row>
    <row r="27" spans="1:7">
      <c r="A27" s="1" t="s">
        <v>24</v>
      </c>
      <c r="B27" s="6">
        <f>demand!I82/demand!F82</f>
        <v>2.8272962483829236</v>
      </c>
      <c r="C27" s="6">
        <f>demand!I82/demand!B82</f>
        <v>0.73871894541152616</v>
      </c>
      <c r="D27" s="6">
        <f>demand!J82/demand!G82</f>
        <v>6.0069502948609941</v>
      </c>
      <c r="E27" s="6">
        <f>demand!B82/demand!S82</f>
        <v>0.34443215553873918</v>
      </c>
      <c r="F27" s="6"/>
      <c r="G27" s="6">
        <f>demand!B82/demand!X82</f>
        <v>0.72061868225551085</v>
      </c>
    </row>
    <row r="28" spans="1:7">
      <c r="A28" s="1" t="s">
        <v>25</v>
      </c>
      <c r="B28" s="6">
        <f>demand!I83/demand!F83</f>
        <v>2.1246383799421404</v>
      </c>
      <c r="C28" s="6">
        <f>demand!I83/demand!B83</f>
        <v>0.6799629658205385</v>
      </c>
      <c r="D28" s="6">
        <f>demand!J83/demand!G83</f>
        <v>3.8944736615225444</v>
      </c>
      <c r="E28" s="6">
        <f>demand!B83/demand!S83</f>
        <v>0.22780227023068475</v>
      </c>
      <c r="F28" s="6"/>
      <c r="G28" s="6">
        <f>demand!B83/demand!X83</f>
        <v>0.37009399167162405</v>
      </c>
    </row>
    <row r="29" spans="1:7">
      <c r="A29" s="1" t="s">
        <v>26</v>
      </c>
      <c r="B29" s="6">
        <f>demand!I84/demand!F84</f>
        <v>3.4822079013729335</v>
      </c>
      <c r="C29" s="6">
        <f>demand!I84/demand!B84</f>
        <v>0.77689566793773834</v>
      </c>
      <c r="D29" s="6">
        <f>demand!J84/demand!G84</f>
        <v>4.0024321778964405</v>
      </c>
      <c r="E29" s="6">
        <f>demand!B84/demand!S84</f>
        <v>0.17274631765366508</v>
      </c>
      <c r="F29" s="6"/>
      <c r="G29" s="6">
        <f>demand!B84/demand!X84</f>
        <v>0.20228882144663632</v>
      </c>
    </row>
    <row r="30" spans="1:7">
      <c r="A30" s="1" t="s">
        <v>27</v>
      </c>
      <c r="B30" s="6">
        <f>demand!I85/demand!F85</f>
        <v>8.9677803734654518</v>
      </c>
      <c r="C30" s="6">
        <f>demand!I85/demand!B85</f>
        <v>0.89967676227477567</v>
      </c>
      <c r="D30" s="6">
        <f>demand!J85/demand!G85</f>
        <v>11.194237930444622</v>
      </c>
      <c r="E30" s="6">
        <f>demand!B85/demand!S85</f>
        <v>7.4805706721576715E-2</v>
      </c>
      <c r="F30" s="6"/>
      <c r="G30" s="6">
        <f>demand!B85/demand!X85</f>
        <v>9.0290076335877864E-2</v>
      </c>
    </row>
    <row r="31" spans="1:7">
      <c r="A31" s="1" t="s">
        <v>28</v>
      </c>
      <c r="B31" s="6">
        <f>demand!I86/demand!F86</f>
        <v>0.47962256574984941</v>
      </c>
      <c r="C31" s="6">
        <f>demand!I86/demand!B86</f>
        <v>0.32415196743554953</v>
      </c>
      <c r="D31" s="6">
        <f>demand!J86/demand!G86</f>
        <v>0.64419865393330089</v>
      </c>
      <c r="E31" s="6">
        <f>demand!B86/demand!S86</f>
        <v>0.10323104775311391</v>
      </c>
      <c r="F31" s="6"/>
      <c r="G31" s="6">
        <f>demand!B86/demand!X86</f>
        <v>0.1587190489778558</v>
      </c>
    </row>
    <row r="32" spans="1:7">
      <c r="A32" s="1" t="s">
        <v>29</v>
      </c>
      <c r="B32" s="6">
        <f>demand!I87/demand!F87</f>
        <v>3.0084745762711864</v>
      </c>
      <c r="C32" s="6">
        <f>demand!I87/demand!B87</f>
        <v>0.7505285412262156</v>
      </c>
      <c r="D32" s="6">
        <f>demand!J87/demand!G87</f>
        <v>3.8989944134078214</v>
      </c>
      <c r="E32" s="6">
        <f>demand!B87/demand!S87</f>
        <v>1.4734367920253738E-2</v>
      </c>
      <c r="F32" s="6"/>
      <c r="G32" s="6">
        <f>demand!B87/demand!X87</f>
        <v>1.7861066102765496E-2</v>
      </c>
    </row>
    <row r="33" spans="1:7">
      <c r="A33" s="1" t="s">
        <v>30</v>
      </c>
      <c r="B33" s="6"/>
      <c r="C33" s="6"/>
      <c r="D33" s="6"/>
      <c r="E33" s="6">
        <f>demand!B88/demand!S88</f>
        <v>0</v>
      </c>
      <c r="F33" s="6"/>
      <c r="G33" s="6">
        <f>demand!B88/demand!X88</f>
        <v>0</v>
      </c>
    </row>
    <row r="34" spans="1:7">
      <c r="A34" s="1" t="s">
        <v>31</v>
      </c>
      <c r="B34" s="6"/>
      <c r="C34" s="6"/>
      <c r="D34" s="6"/>
      <c r="E34" s="6">
        <f>demand!B89/demand!S89</f>
        <v>0</v>
      </c>
      <c r="F34" s="6"/>
      <c r="G34" s="6">
        <f>demand!B89/demand!X89</f>
        <v>0</v>
      </c>
    </row>
    <row r="35" spans="1:7">
      <c r="A35" s="1" t="s">
        <v>32</v>
      </c>
      <c r="B35" s="6">
        <f>demand!I90/demand!F90</f>
        <v>8.9677803734654518</v>
      </c>
      <c r="C35" s="6">
        <f>demand!I90/demand!B90</f>
        <v>0.89967676227477567</v>
      </c>
      <c r="D35" s="6">
        <f>demand!J90/demand!G90</f>
        <v>11.194237930444624</v>
      </c>
      <c r="E35" s="6">
        <f>demand!B90/demand!S90</f>
        <v>0.29300603057015295</v>
      </c>
      <c r="F35" s="6">
        <f>demand!I90/demand!R90</f>
        <v>1.143315878240396</v>
      </c>
      <c r="G35" s="6">
        <f>demand!B90/demand!X90</f>
        <v>0.5135535368115135</v>
      </c>
    </row>
    <row r="36" spans="1:7">
      <c r="A36" s="1" t="s">
        <v>33</v>
      </c>
      <c r="B36" s="6"/>
      <c r="C36" s="6"/>
      <c r="D36" s="6"/>
      <c r="E36" s="6">
        <f>demand!B91/demand!S91</f>
        <v>0</v>
      </c>
      <c r="F36" s="6"/>
      <c r="G36" s="6">
        <f>demand!B91/demand!X91</f>
        <v>0</v>
      </c>
    </row>
    <row r="37" spans="1:7">
      <c r="A37" s="1" t="s">
        <v>34</v>
      </c>
      <c r="B37" s="6">
        <f>demand!I92/demand!F92</f>
        <v>4.8904513191375383</v>
      </c>
      <c r="C37" s="6">
        <f>demand!I92/demand!B92</f>
        <v>0.83023372135321938</v>
      </c>
      <c r="D37" s="6">
        <f>demand!J92/demand!G92</f>
        <v>4.7301116466856179</v>
      </c>
      <c r="E37" s="6">
        <f>demand!B92/demand!S92</f>
        <v>0.30979229322646307</v>
      </c>
      <c r="F37" s="6"/>
      <c r="G37" s="6">
        <f>demand!B92/demand!X92</f>
        <v>0.34744966071837652</v>
      </c>
    </row>
    <row r="38" spans="1:7">
      <c r="A38" s="1" t="s">
        <v>35</v>
      </c>
      <c r="B38" s="6">
        <f>demand!I93/demand!F93</f>
        <v>0.5605909930387839</v>
      </c>
      <c r="C38" s="6">
        <f>demand!I93/demand!B93</f>
        <v>0.3592171142467</v>
      </c>
      <c r="D38" s="6">
        <f>demand!J93/demand!G93</f>
        <v>1.0924428822495609</v>
      </c>
      <c r="E38" s="6">
        <f>demand!B93/demand!S93</f>
        <v>3.4625568249476407E-2</v>
      </c>
      <c r="F38" s="6"/>
      <c r="G38" s="6">
        <f>demand!B93/demand!X93</f>
        <v>5.2507886937956091E-2</v>
      </c>
    </row>
    <row r="39" spans="1:7">
      <c r="A39" s="1" t="s">
        <v>36</v>
      </c>
      <c r="B39" s="6">
        <f>demand!I94/demand!F94</f>
        <v>2.7703822838055179</v>
      </c>
      <c r="C39" s="6">
        <f>demand!I94/demand!B94</f>
        <v>0.73477490484315522</v>
      </c>
      <c r="D39" s="6">
        <f>demand!J94/demand!G94</f>
        <v>3.3613423867910703</v>
      </c>
      <c r="E39" s="6">
        <f>demand!B94/demand!S94</f>
        <v>3.5351191115502762E-3</v>
      </c>
      <c r="F39" s="6"/>
      <c r="G39" s="6">
        <f>demand!B94/demand!X94</f>
        <v>4.1248815700428605E-3</v>
      </c>
    </row>
    <row r="40" spans="1:7">
      <c r="A40" s="1" t="s">
        <v>37</v>
      </c>
      <c r="B40" s="6">
        <f>demand!I95/demand!F95</f>
        <v>2.866259907934519</v>
      </c>
      <c r="C40" s="6">
        <f>demand!I95/demand!B95</f>
        <v>0.74135210156261</v>
      </c>
      <c r="D40" s="6">
        <f>demand!J95/demand!G95</f>
        <v>4.372687392714095</v>
      </c>
      <c r="E40" s="6">
        <f>demand!B95/demand!S95</f>
        <v>2.0885281471090512E-2</v>
      </c>
      <c r="F40" s="6"/>
      <c r="G40" s="6">
        <f>demand!B95/demand!X95</f>
        <v>2.2301209703679586E-2</v>
      </c>
    </row>
    <row r="41" spans="1:7">
      <c r="A41" s="1" t="s">
        <v>38</v>
      </c>
      <c r="B41" s="6">
        <f>demand!I96/demand!F96</f>
        <v>0.5605909930387839</v>
      </c>
      <c r="C41" s="6">
        <f>demand!I96/demand!B96</f>
        <v>0.35921711424670005</v>
      </c>
      <c r="D41" s="6">
        <f>demand!J96/demand!G96</f>
        <v>1.0924428822495604</v>
      </c>
      <c r="E41" s="6">
        <f>demand!B96/demand!S96</f>
        <v>6.4451520679318544E-2</v>
      </c>
      <c r="F41" s="6"/>
      <c r="G41" s="6">
        <f>demand!B96/demand!X96</f>
        <v>8.2101265134734813E-2</v>
      </c>
    </row>
    <row r="42" spans="1:7">
      <c r="A42" s="1" t="s">
        <v>39</v>
      </c>
      <c r="B42" s="6">
        <f>demand!I97/demand!F97</f>
        <v>2.7703822838055174</v>
      </c>
      <c r="C42" s="6">
        <f>demand!I97/demand!B97</f>
        <v>0.73477490484315522</v>
      </c>
      <c r="D42" s="6">
        <f>demand!J97/demand!G97</f>
        <v>3.1111028642307823</v>
      </c>
      <c r="E42" s="6">
        <f>demand!B97/demand!S97</f>
        <v>0.12079972581230099</v>
      </c>
      <c r="F42" s="6"/>
      <c r="G42" s="6">
        <f>demand!B97/demand!X97</f>
        <v>0.14123104047562471</v>
      </c>
    </row>
    <row r="43" spans="1:7">
      <c r="A43" s="1" t="s">
        <v>40</v>
      </c>
      <c r="B43" s="6">
        <f>demand!I98/demand!F98</f>
        <v>13.284949352124428</v>
      </c>
      <c r="C43" s="6">
        <f>demand!I98/demand!B98</f>
        <v>0.92999625162470168</v>
      </c>
      <c r="D43" s="6">
        <f>demand!J98/demand!G98</f>
        <v>18.10900788709008</v>
      </c>
      <c r="E43" s="6">
        <f>demand!B98/demand!S98</f>
        <v>0.39364047834701749</v>
      </c>
      <c r="F43" s="6">
        <f>demand!I98/demand!R98</f>
        <v>1.2325555388287921</v>
      </c>
      <c r="G43" s="6">
        <f>demand!B98/demand!X98</f>
        <v>0.70416350539777139</v>
      </c>
    </row>
    <row r="44" spans="1:7">
      <c r="A44" s="1" t="s">
        <v>41</v>
      </c>
      <c r="B44" s="6">
        <f>demand!I99/demand!F99</f>
        <v>3.4822079013729335</v>
      </c>
      <c r="C44" s="6">
        <f>demand!I99/demand!B99</f>
        <v>0.77689566793773834</v>
      </c>
      <c r="D44" s="6">
        <f>demand!J99/demand!G99</f>
        <v>4.0024321778964405</v>
      </c>
      <c r="E44" s="6">
        <f>demand!B99/demand!S99</f>
        <v>2.6752792112613263E-2</v>
      </c>
      <c r="F44" s="6"/>
      <c r="G44" s="6">
        <f>demand!B99/demand!X99</f>
        <v>3.4369815444759255E-2</v>
      </c>
    </row>
    <row r="45" spans="1:7">
      <c r="A45" s="1" t="s">
        <v>42</v>
      </c>
      <c r="B45" s="6">
        <f>demand!I100/demand!F100</f>
        <v>3.3624486118150587</v>
      </c>
      <c r="C45" s="6">
        <f>demand!I100/demand!B100</f>
        <v>0.77077093875864922</v>
      </c>
      <c r="D45" s="6">
        <f>demand!J100/demand!G100</f>
        <v>3.7478904645790556</v>
      </c>
      <c r="E45" s="6">
        <f>demand!B100/demand!S100</f>
        <v>0.14141392013611254</v>
      </c>
      <c r="F45" s="6">
        <f>demand!I100/demand!R100</f>
        <v>45.87552823665002</v>
      </c>
      <c r="G45" s="6">
        <f>demand!B100/demand!X100</f>
        <v>0.1793328726387958</v>
      </c>
    </row>
    <row r="46" spans="1:7">
      <c r="A46" s="1" t="s">
        <v>43</v>
      </c>
      <c r="B46" s="6">
        <f>demand!I101/demand!F101</f>
        <v>1.7271001423825345</v>
      </c>
      <c r="C46" s="6">
        <f>demand!I101/demand!B101</f>
        <v>0.63331012878524195</v>
      </c>
      <c r="D46" s="6">
        <f>demand!J101/demand!G101</f>
        <v>1.7483563445101906</v>
      </c>
      <c r="E46" s="6">
        <f>demand!B101/demand!S101</f>
        <v>7.0698246693325126E-2</v>
      </c>
      <c r="F46" s="6"/>
      <c r="G46" s="6">
        <f>demand!B101/demand!X101</f>
        <v>8.4179375613472218E-2</v>
      </c>
    </row>
    <row r="47" spans="1:7">
      <c r="A47" s="1" t="s">
        <v>44</v>
      </c>
      <c r="B47" s="6"/>
      <c r="C47" s="6"/>
      <c r="D47" s="6"/>
      <c r="E47" s="6">
        <f>demand!B102/demand!S102</f>
        <v>0</v>
      </c>
      <c r="F47" s="6"/>
      <c r="G47" s="6">
        <f>demand!B102/demand!X102</f>
        <v>0</v>
      </c>
    </row>
    <row r="48" spans="1:7">
      <c r="A48" s="1" t="s">
        <v>45</v>
      </c>
      <c r="B48" s="6">
        <f>demand!I103/demand!F103</f>
        <v>8.3439536567704558</v>
      </c>
      <c r="C48" s="6">
        <f>demand!I103/demand!B103</f>
        <v>0.89297892126472411</v>
      </c>
      <c r="D48" s="6">
        <f>demand!J103/demand!G103</f>
        <v>7.0734299516908221</v>
      </c>
      <c r="E48" s="6">
        <f>demand!B103/demand!S103</f>
        <v>8.497526450200657E-2</v>
      </c>
      <c r="F48" s="6"/>
      <c r="G48" s="6">
        <f>demand!B103/demand!X103</f>
        <v>0.10315199291408327</v>
      </c>
    </row>
    <row r="49" spans="1:7">
      <c r="A49" s="1" t="s">
        <v>46</v>
      </c>
      <c r="B49" s="6">
        <f>demand!I104/demand!F104</f>
        <v>2.6819371727748691</v>
      </c>
      <c r="C49" s="6">
        <f>demand!I104/demand!B104</f>
        <v>0.72840383931745467</v>
      </c>
      <c r="D49" s="6">
        <f>demand!J104/demand!G104</f>
        <v>2.9947571542998617</v>
      </c>
      <c r="E49" s="6">
        <f>demand!B104/demand!S104</f>
        <v>0.14508012525326947</v>
      </c>
      <c r="F49" s="6"/>
      <c r="G49" s="6">
        <f>demand!B104/demand!X104</f>
        <v>0.16845896534318883</v>
      </c>
    </row>
    <row r="50" spans="1:7">
      <c r="A50" s="1" t="s">
        <v>47</v>
      </c>
      <c r="B50" s="6">
        <f>demand!I105/demand!F105</f>
        <v>0.47818158414142281</v>
      </c>
      <c r="C50" s="6">
        <f>demand!I105/demand!B105</f>
        <v>0.32349312782107664</v>
      </c>
      <c r="D50" s="6">
        <f>demand!J105/demand!G105</f>
        <v>0.64156965016425571</v>
      </c>
      <c r="E50" s="6">
        <f>demand!B105/demand!S105</f>
        <v>0.1863418037841171</v>
      </c>
      <c r="F50" s="6"/>
      <c r="G50" s="6">
        <f>demand!B105/demand!X105</f>
        <v>0.36763670124215647</v>
      </c>
    </row>
    <row r="51" spans="1:7">
      <c r="A51" s="1" t="s">
        <v>48</v>
      </c>
      <c r="B51" s="6">
        <f>demand!I106/demand!F106</f>
        <v>0.14496993628286817</v>
      </c>
      <c r="C51" s="6">
        <f>demand!I106/demand!B106</f>
        <v>0.12661462252320041</v>
      </c>
      <c r="D51" s="6">
        <f>demand!J106/demand!G106</f>
        <v>0.20947841695275604</v>
      </c>
      <c r="E51" s="6">
        <f>demand!B106/demand!S106</f>
        <v>0.12741046694402225</v>
      </c>
      <c r="F51" s="6"/>
      <c r="G51" s="6">
        <f>demand!B106/demand!X106</f>
        <v>0.16744142096325013</v>
      </c>
    </row>
    <row r="52" spans="1:7">
      <c r="A52" s="1" t="s">
        <v>49</v>
      </c>
      <c r="B52" s="6">
        <f>demand!I107/demand!F107</f>
        <v>8.3439536567704575</v>
      </c>
      <c r="C52" s="6">
        <f>demand!I107/demand!B107</f>
        <v>0.89297892126472411</v>
      </c>
      <c r="D52" s="6">
        <f>demand!J107/demand!G107</f>
        <v>7.0734299516908221</v>
      </c>
      <c r="E52" s="6">
        <f>demand!B107/demand!S107</f>
        <v>0.48205273132448406</v>
      </c>
      <c r="F52" s="6"/>
      <c r="G52" s="6">
        <f>demand!B107/demand!X107</f>
        <v>0.5188947080786801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2"/>
  <sheetViews>
    <sheetView workbookViewId="0">
      <selection activeCell="I2" sqref="I2:J2"/>
    </sheetView>
  </sheetViews>
  <sheetFormatPr defaultRowHeight="15"/>
  <cols>
    <col min="10" max="10" width="11" customWidth="1"/>
  </cols>
  <sheetData>
    <row r="1" spans="1:10">
      <c r="A1" t="s">
        <v>135</v>
      </c>
    </row>
    <row r="2" spans="1:10">
      <c r="B2" s="12" t="s">
        <v>130</v>
      </c>
      <c r="C2" s="12" t="s">
        <v>131</v>
      </c>
      <c r="D2" s="12" t="s">
        <v>132</v>
      </c>
      <c r="E2" s="12" t="s">
        <v>133</v>
      </c>
      <c r="F2" s="12" t="s">
        <v>134</v>
      </c>
      <c r="G2" s="13">
        <v>2001</v>
      </c>
      <c r="H2" s="13">
        <v>2011</v>
      </c>
      <c r="I2" s="166" t="s">
        <v>178</v>
      </c>
      <c r="J2" s="166" t="s">
        <v>292</v>
      </c>
    </row>
    <row r="3" spans="1:10">
      <c r="A3" s="11" t="s">
        <v>56</v>
      </c>
      <c r="B3" s="10">
        <f>SUM(B4:B12)</f>
        <v>281172</v>
      </c>
      <c r="C3" s="10">
        <f t="shared" ref="C3:H3" si="0">SUM(C4:C12)</f>
        <v>254328</v>
      </c>
      <c r="D3" s="10">
        <f t="shared" si="0"/>
        <v>210298</v>
      </c>
      <c r="E3" s="10">
        <f t="shared" si="0"/>
        <v>194872</v>
      </c>
      <c r="F3" s="10">
        <f t="shared" si="0"/>
        <v>199072</v>
      </c>
      <c r="G3" s="10">
        <f t="shared" si="0"/>
        <v>206121</v>
      </c>
      <c r="H3" s="10">
        <f t="shared" si="0"/>
        <v>199231</v>
      </c>
      <c r="I3" s="60">
        <v>193990</v>
      </c>
      <c r="J3" s="60">
        <v>198746</v>
      </c>
    </row>
    <row r="4" spans="1:10">
      <c r="A4" s="1" t="s">
        <v>1</v>
      </c>
      <c r="B4" s="5">
        <v>3849</v>
      </c>
      <c r="C4" s="5">
        <v>1061</v>
      </c>
      <c r="D4" s="5">
        <v>422</v>
      </c>
      <c r="E4" s="5">
        <v>296</v>
      </c>
      <c r="F4" s="5">
        <v>286</v>
      </c>
      <c r="G4" s="4">
        <v>371</v>
      </c>
      <c r="H4" s="57">
        <v>270</v>
      </c>
      <c r="I4" s="4">
        <v>247</v>
      </c>
      <c r="J4" s="4">
        <v>283</v>
      </c>
    </row>
    <row r="5" spans="1:10">
      <c r="A5" s="1" t="s">
        <v>2</v>
      </c>
      <c r="B5" s="5">
        <v>126924</v>
      </c>
      <c r="C5" s="5">
        <v>117371</v>
      </c>
      <c r="D5" s="5">
        <v>97008</v>
      </c>
      <c r="E5" s="5">
        <v>88601</v>
      </c>
      <c r="F5" s="5">
        <v>87151</v>
      </c>
      <c r="G5" s="4">
        <v>90643</v>
      </c>
      <c r="H5" s="57">
        <v>86436</v>
      </c>
      <c r="I5" s="4">
        <v>83845</v>
      </c>
      <c r="J5" s="4">
        <v>86346</v>
      </c>
    </row>
    <row r="6" spans="1:10">
      <c r="A6" s="1" t="s">
        <v>3</v>
      </c>
      <c r="B6" s="5">
        <v>24016</v>
      </c>
      <c r="C6" s="5">
        <v>21808</v>
      </c>
      <c r="D6" s="5">
        <v>17367</v>
      </c>
      <c r="E6" s="5">
        <v>15721</v>
      </c>
      <c r="F6" s="5">
        <v>17645</v>
      </c>
      <c r="G6" s="4">
        <v>18104</v>
      </c>
      <c r="H6" s="57">
        <v>16992</v>
      </c>
      <c r="I6" s="4">
        <v>16554</v>
      </c>
      <c r="J6" s="4">
        <v>17025</v>
      </c>
    </row>
    <row r="7" spans="1:10">
      <c r="A7" s="1" t="s">
        <v>4</v>
      </c>
      <c r="B7" s="5">
        <v>10608</v>
      </c>
      <c r="C7" s="5">
        <v>9577</v>
      </c>
      <c r="D7" s="5">
        <v>7702</v>
      </c>
      <c r="E7" s="5">
        <v>7559</v>
      </c>
      <c r="F7" s="5">
        <v>7546</v>
      </c>
      <c r="G7" s="4">
        <v>8312</v>
      </c>
      <c r="H7" s="57">
        <v>8423</v>
      </c>
      <c r="I7" s="4">
        <v>8114</v>
      </c>
      <c r="J7" s="4">
        <v>8563</v>
      </c>
    </row>
    <row r="8" spans="1:10">
      <c r="A8" s="1" t="s">
        <v>5</v>
      </c>
      <c r="B8" s="5">
        <v>1105</v>
      </c>
      <c r="C8" s="5">
        <v>1170</v>
      </c>
      <c r="D8" s="5">
        <v>1195</v>
      </c>
      <c r="E8" s="5">
        <v>1203</v>
      </c>
      <c r="F8" s="5">
        <v>1233</v>
      </c>
      <c r="G8" s="4">
        <v>1469</v>
      </c>
      <c r="H8" s="58">
        <v>1459</v>
      </c>
      <c r="I8" s="4">
        <v>1384</v>
      </c>
      <c r="J8" s="4">
        <v>1508</v>
      </c>
    </row>
    <row r="9" spans="1:10">
      <c r="A9" s="1" t="s">
        <v>6</v>
      </c>
      <c r="B9" s="5">
        <v>47865</v>
      </c>
      <c r="C9" s="5">
        <v>41124</v>
      </c>
      <c r="D9" s="5">
        <v>32664</v>
      </c>
      <c r="E9" s="5">
        <v>31629</v>
      </c>
      <c r="F9" s="5">
        <v>33032</v>
      </c>
      <c r="G9" s="4">
        <v>33814</v>
      </c>
      <c r="H9" s="57">
        <v>32977</v>
      </c>
      <c r="I9" s="4">
        <v>32083</v>
      </c>
      <c r="J9" s="4">
        <v>32939</v>
      </c>
    </row>
    <row r="10" spans="1:10">
      <c r="A10" s="1" t="s">
        <v>7</v>
      </c>
      <c r="B10" s="5">
        <v>64672</v>
      </c>
      <c r="C10" s="5">
        <v>60061</v>
      </c>
      <c r="D10" s="5">
        <v>52487</v>
      </c>
      <c r="E10" s="5">
        <v>48700</v>
      </c>
      <c r="F10" s="5">
        <v>51060</v>
      </c>
      <c r="G10" s="4">
        <v>51936</v>
      </c>
      <c r="H10" s="57">
        <v>51390</v>
      </c>
      <c r="I10" s="4">
        <v>50526</v>
      </c>
      <c r="J10" s="4">
        <v>50744</v>
      </c>
    </row>
    <row r="11" spans="1:10">
      <c r="A11" s="1" t="s">
        <v>8</v>
      </c>
      <c r="B11" s="5">
        <v>1433</v>
      </c>
      <c r="C11" s="5">
        <v>1580</v>
      </c>
      <c r="D11" s="5">
        <v>966</v>
      </c>
      <c r="E11" s="5">
        <v>703</v>
      </c>
      <c r="F11" s="5">
        <v>681</v>
      </c>
      <c r="G11" s="4">
        <v>1050</v>
      </c>
      <c r="H11" s="57">
        <v>826</v>
      </c>
      <c r="I11" s="4">
        <v>806</v>
      </c>
      <c r="J11" s="4">
        <v>832</v>
      </c>
    </row>
    <row r="12" spans="1:10">
      <c r="A12" s="1" t="s">
        <v>9</v>
      </c>
      <c r="B12" s="5">
        <v>700</v>
      </c>
      <c r="C12" s="5">
        <v>576</v>
      </c>
      <c r="D12" s="5">
        <v>487</v>
      </c>
      <c r="E12" s="5">
        <v>460</v>
      </c>
      <c r="F12" s="5">
        <v>438</v>
      </c>
      <c r="G12" s="4">
        <v>422</v>
      </c>
      <c r="H12" s="57">
        <v>458</v>
      </c>
      <c r="I12" s="4">
        <v>431</v>
      </c>
      <c r="J12" s="4">
        <v>477</v>
      </c>
    </row>
    <row r="13" spans="1:10">
      <c r="A13" s="9" t="s">
        <v>57</v>
      </c>
      <c r="B13" s="164">
        <f>SUM(B14:B52)</f>
        <v>235043</v>
      </c>
      <c r="C13" s="164">
        <f t="shared" ref="C13:H13" si="1">SUM(C14:C52)</f>
        <v>222150</v>
      </c>
      <c r="D13" s="164">
        <f t="shared" si="1"/>
        <v>206944</v>
      </c>
      <c r="E13" s="164">
        <f t="shared" si="1"/>
        <v>233162</v>
      </c>
      <c r="F13" s="164">
        <f t="shared" si="1"/>
        <v>257258</v>
      </c>
      <c r="G13" s="164">
        <f t="shared" si="1"/>
        <v>302810</v>
      </c>
      <c r="H13" s="165">
        <f t="shared" si="1"/>
        <v>308975</v>
      </c>
      <c r="I13" s="60">
        <v>313128</v>
      </c>
      <c r="J13" s="60">
        <v>294042</v>
      </c>
    </row>
    <row r="14" spans="1:10">
      <c r="A14" s="1" t="s">
        <v>11</v>
      </c>
      <c r="B14" s="5">
        <v>196</v>
      </c>
      <c r="C14" s="5">
        <v>189</v>
      </c>
      <c r="D14" s="5">
        <v>160</v>
      </c>
      <c r="E14" s="5">
        <v>133</v>
      </c>
      <c r="F14" s="5">
        <v>112</v>
      </c>
      <c r="G14" s="4">
        <v>158</v>
      </c>
      <c r="H14" s="57">
        <v>185</v>
      </c>
      <c r="I14" s="4">
        <v>177</v>
      </c>
      <c r="J14" s="4">
        <v>189</v>
      </c>
    </row>
    <row r="15" spans="1:10">
      <c r="A15" s="1" t="s">
        <v>12</v>
      </c>
      <c r="B15" s="5">
        <v>1797</v>
      </c>
      <c r="C15" s="5">
        <v>1539</v>
      </c>
      <c r="D15" s="5">
        <v>1139</v>
      </c>
      <c r="E15" s="5">
        <v>1030</v>
      </c>
      <c r="F15" s="5">
        <v>1073</v>
      </c>
      <c r="G15" s="4">
        <v>1238</v>
      </c>
      <c r="H15" s="57">
        <v>1334</v>
      </c>
      <c r="I15" s="4">
        <v>1317</v>
      </c>
      <c r="J15" s="4">
        <v>1321</v>
      </c>
    </row>
    <row r="16" spans="1:10">
      <c r="A16" s="1" t="s">
        <v>13</v>
      </c>
      <c r="B16" s="5">
        <v>13387</v>
      </c>
      <c r="C16" s="5">
        <v>14017</v>
      </c>
      <c r="D16" s="5">
        <v>13097</v>
      </c>
      <c r="E16" s="5">
        <v>14295</v>
      </c>
      <c r="F16" s="5">
        <v>15706</v>
      </c>
      <c r="G16" s="4">
        <v>16441</v>
      </c>
      <c r="H16" s="57">
        <v>16179</v>
      </c>
      <c r="I16" s="4">
        <v>16346</v>
      </c>
      <c r="J16" s="4">
        <v>15411</v>
      </c>
    </row>
    <row r="17" spans="1:10">
      <c r="A17" s="1" t="s">
        <v>14</v>
      </c>
      <c r="B17" s="5">
        <v>7053</v>
      </c>
      <c r="C17" s="5">
        <v>6689</v>
      </c>
      <c r="D17" s="5">
        <v>5420</v>
      </c>
      <c r="E17" s="5">
        <v>4645</v>
      </c>
      <c r="F17" s="5">
        <v>5323</v>
      </c>
      <c r="G17" s="4">
        <v>6511</v>
      </c>
      <c r="H17" s="57">
        <v>6226</v>
      </c>
      <c r="I17" s="4">
        <v>6084</v>
      </c>
      <c r="J17" s="4">
        <v>6278</v>
      </c>
    </row>
    <row r="18" spans="1:10">
      <c r="A18" s="1" t="s">
        <v>15</v>
      </c>
      <c r="B18" s="5">
        <v>1388</v>
      </c>
      <c r="C18" s="5">
        <v>1422</v>
      </c>
      <c r="D18" s="5">
        <v>1353</v>
      </c>
      <c r="E18" s="5">
        <v>1184</v>
      </c>
      <c r="F18" s="5">
        <v>1088</v>
      </c>
      <c r="G18" s="4">
        <v>990</v>
      </c>
      <c r="H18" s="57">
        <v>1084</v>
      </c>
      <c r="I18" s="4">
        <v>1045</v>
      </c>
      <c r="J18" s="4">
        <v>1105</v>
      </c>
    </row>
    <row r="19" spans="1:10">
      <c r="A19" s="1" t="s">
        <v>16</v>
      </c>
      <c r="B19" s="5">
        <v>19076</v>
      </c>
      <c r="C19" s="5">
        <v>18187</v>
      </c>
      <c r="D19" s="5">
        <v>16650</v>
      </c>
      <c r="E19" s="5">
        <v>20350</v>
      </c>
      <c r="F19" s="5">
        <v>26379</v>
      </c>
      <c r="G19" s="4">
        <v>30947</v>
      </c>
      <c r="H19" s="57">
        <v>33388</v>
      </c>
      <c r="I19" s="4">
        <v>34639</v>
      </c>
      <c r="J19" s="4">
        <v>30797</v>
      </c>
    </row>
    <row r="20" spans="1:10">
      <c r="A20" s="1" t="s">
        <v>17</v>
      </c>
      <c r="B20" s="5">
        <v>885</v>
      </c>
      <c r="C20" s="5">
        <v>724</v>
      </c>
      <c r="D20" s="5">
        <v>597</v>
      </c>
      <c r="E20" s="5">
        <v>574</v>
      </c>
      <c r="F20" s="5">
        <v>606</v>
      </c>
      <c r="G20" s="4">
        <v>698</v>
      </c>
      <c r="H20" s="57">
        <v>790</v>
      </c>
      <c r="I20" s="4">
        <v>783</v>
      </c>
      <c r="J20" s="4">
        <v>782</v>
      </c>
    </row>
    <row r="21" spans="1:10">
      <c r="A21" s="1" t="s">
        <v>18</v>
      </c>
      <c r="B21" s="5">
        <v>7049</v>
      </c>
      <c r="C21" s="5">
        <v>6611</v>
      </c>
      <c r="D21" s="5">
        <v>8494</v>
      </c>
      <c r="E21" s="5">
        <v>8127</v>
      </c>
      <c r="F21" s="5">
        <v>8059</v>
      </c>
      <c r="G21" s="4">
        <v>8123</v>
      </c>
      <c r="H21" s="57">
        <v>7917</v>
      </c>
      <c r="I21" s="4">
        <v>7726</v>
      </c>
      <c r="J21" s="4">
        <v>7834</v>
      </c>
    </row>
    <row r="22" spans="1:10">
      <c r="A22" s="1" t="s">
        <v>19</v>
      </c>
      <c r="B22" s="5">
        <v>574</v>
      </c>
      <c r="C22" s="5">
        <v>476</v>
      </c>
      <c r="D22" s="5">
        <v>264</v>
      </c>
      <c r="E22" s="5">
        <v>222</v>
      </c>
      <c r="F22" s="5">
        <v>275</v>
      </c>
      <c r="G22" s="4">
        <v>430</v>
      </c>
      <c r="H22" s="57">
        <v>492</v>
      </c>
      <c r="I22" s="4">
        <v>510</v>
      </c>
      <c r="J22" s="4">
        <v>460</v>
      </c>
    </row>
    <row r="23" spans="1:10">
      <c r="A23" s="1" t="s">
        <v>20</v>
      </c>
      <c r="B23" s="5">
        <v>2327</v>
      </c>
      <c r="C23" s="5">
        <v>1788</v>
      </c>
      <c r="D23" s="5">
        <v>1253</v>
      </c>
      <c r="E23" s="5">
        <v>916</v>
      </c>
      <c r="F23" s="5">
        <v>913</v>
      </c>
      <c r="G23" s="4">
        <v>948</v>
      </c>
      <c r="H23" s="57">
        <v>1008</v>
      </c>
      <c r="I23" s="4">
        <v>1000</v>
      </c>
      <c r="J23" s="4">
        <v>992</v>
      </c>
    </row>
    <row r="24" spans="1:10">
      <c r="A24" s="1" t="s">
        <v>21</v>
      </c>
      <c r="B24" s="5">
        <v>2613</v>
      </c>
      <c r="C24" s="5">
        <v>2564</v>
      </c>
      <c r="D24" s="5">
        <v>2432</v>
      </c>
      <c r="E24" s="5">
        <v>2534</v>
      </c>
      <c r="F24" s="5">
        <v>2663</v>
      </c>
      <c r="G24" s="4">
        <v>2984</v>
      </c>
      <c r="H24" s="57">
        <v>3047</v>
      </c>
      <c r="I24" s="4">
        <v>3030</v>
      </c>
      <c r="J24" s="4">
        <v>2966</v>
      </c>
    </row>
    <row r="25" spans="1:10">
      <c r="A25" s="1" t="s">
        <v>22</v>
      </c>
      <c r="B25" s="5">
        <v>58946</v>
      </c>
      <c r="C25" s="5">
        <v>63951</v>
      </c>
      <c r="D25" s="5">
        <v>66606</v>
      </c>
      <c r="E25" s="5">
        <v>87831</v>
      </c>
      <c r="F25" s="5">
        <v>98175</v>
      </c>
      <c r="G25" s="4">
        <v>117007</v>
      </c>
      <c r="H25" s="57">
        <v>115490</v>
      </c>
      <c r="I25" s="4">
        <v>118439</v>
      </c>
      <c r="J25" s="4">
        <v>108314</v>
      </c>
    </row>
    <row r="26" spans="1:10">
      <c r="A26" s="1" t="s">
        <v>23</v>
      </c>
      <c r="B26" s="5">
        <v>3978</v>
      </c>
      <c r="C26" s="5">
        <v>3123</v>
      </c>
      <c r="D26" s="5">
        <v>2489</v>
      </c>
      <c r="E26" s="5">
        <v>2273</v>
      </c>
      <c r="F26" s="5">
        <v>2332</v>
      </c>
      <c r="G26" s="4">
        <v>2606</v>
      </c>
      <c r="H26" s="57">
        <v>2590</v>
      </c>
      <c r="I26" s="4">
        <v>2576</v>
      </c>
      <c r="J26" s="4">
        <v>2536</v>
      </c>
    </row>
    <row r="27" spans="1:10">
      <c r="A27" s="1" t="s">
        <v>24</v>
      </c>
      <c r="B27" s="5">
        <v>1052</v>
      </c>
      <c r="C27" s="5">
        <v>789</v>
      </c>
      <c r="D27" s="5">
        <v>349</v>
      </c>
      <c r="E27" s="5">
        <v>301</v>
      </c>
      <c r="F27" s="5">
        <v>279</v>
      </c>
      <c r="G27" s="4">
        <v>533</v>
      </c>
      <c r="H27" s="57">
        <v>780</v>
      </c>
      <c r="I27" s="4">
        <v>778</v>
      </c>
      <c r="J27" s="4">
        <v>773</v>
      </c>
    </row>
    <row r="28" spans="1:10">
      <c r="A28" s="1" t="s">
        <v>25</v>
      </c>
      <c r="B28" s="5">
        <v>580</v>
      </c>
      <c r="C28" s="5">
        <v>501</v>
      </c>
      <c r="D28" s="5">
        <v>387</v>
      </c>
      <c r="E28" s="5">
        <v>334</v>
      </c>
      <c r="F28" s="5">
        <v>281</v>
      </c>
      <c r="G28" s="4">
        <v>313</v>
      </c>
      <c r="H28" s="57">
        <v>478</v>
      </c>
      <c r="I28" s="4">
        <v>484</v>
      </c>
      <c r="J28" s="4">
        <v>459</v>
      </c>
    </row>
    <row r="29" spans="1:10">
      <c r="A29" s="1" t="s">
        <v>26</v>
      </c>
      <c r="B29" s="5">
        <v>2505</v>
      </c>
      <c r="C29" s="5">
        <v>2096</v>
      </c>
      <c r="D29" s="5">
        <v>1822</v>
      </c>
      <c r="E29" s="5">
        <v>1718</v>
      </c>
      <c r="F29" s="5">
        <v>1630</v>
      </c>
      <c r="G29" s="4">
        <v>1859</v>
      </c>
      <c r="H29" s="57">
        <v>1973</v>
      </c>
      <c r="I29" s="4">
        <v>1938</v>
      </c>
      <c r="J29" s="4">
        <v>1955</v>
      </c>
    </row>
    <row r="30" spans="1:10">
      <c r="A30" s="1" t="s">
        <v>27</v>
      </c>
      <c r="B30" s="5">
        <v>532</v>
      </c>
      <c r="C30" s="5">
        <v>471</v>
      </c>
      <c r="D30" s="5">
        <v>353</v>
      </c>
      <c r="E30" s="5">
        <v>292</v>
      </c>
      <c r="F30" s="5">
        <v>261</v>
      </c>
      <c r="G30" s="4">
        <v>273</v>
      </c>
      <c r="H30" s="57">
        <v>271</v>
      </c>
      <c r="I30" s="4">
        <v>248</v>
      </c>
      <c r="J30" s="4">
        <v>290</v>
      </c>
    </row>
    <row r="31" spans="1:10">
      <c r="A31" s="1" t="s">
        <v>28</v>
      </c>
      <c r="B31" s="5">
        <v>14705</v>
      </c>
      <c r="C31" s="5">
        <v>12928</v>
      </c>
      <c r="D31" s="5">
        <v>10457</v>
      </c>
      <c r="E31" s="5">
        <v>9020</v>
      </c>
      <c r="F31" s="5">
        <v>8781</v>
      </c>
      <c r="G31" s="4">
        <v>10009</v>
      </c>
      <c r="H31" s="57">
        <v>9221</v>
      </c>
      <c r="I31" s="4">
        <v>8935</v>
      </c>
      <c r="J31" s="4">
        <v>9246</v>
      </c>
    </row>
    <row r="32" spans="1:10">
      <c r="A32" s="1" t="s">
        <v>29</v>
      </c>
      <c r="B32" s="5">
        <v>680</v>
      </c>
      <c r="C32" s="5">
        <v>631</v>
      </c>
      <c r="D32" s="5">
        <v>538</v>
      </c>
      <c r="E32" s="5">
        <v>635</v>
      </c>
      <c r="F32" s="5">
        <v>819</v>
      </c>
      <c r="G32" s="4">
        <v>1037</v>
      </c>
      <c r="H32" s="57">
        <v>1211</v>
      </c>
      <c r="I32" s="4">
        <v>1250</v>
      </c>
      <c r="J32" s="4">
        <v>1142</v>
      </c>
    </row>
    <row r="33" spans="1:10">
      <c r="A33" s="1" t="s">
        <v>30</v>
      </c>
      <c r="B33" s="5">
        <v>272</v>
      </c>
      <c r="C33" s="5">
        <v>210</v>
      </c>
      <c r="D33" s="5">
        <v>149</v>
      </c>
      <c r="E33" s="5">
        <v>116</v>
      </c>
      <c r="F33" s="5">
        <v>111</v>
      </c>
      <c r="G33" s="4">
        <v>163</v>
      </c>
      <c r="H33" s="57">
        <v>167</v>
      </c>
      <c r="I33" s="4">
        <v>161</v>
      </c>
      <c r="J33" s="4">
        <v>168</v>
      </c>
    </row>
    <row r="34" spans="1:10">
      <c r="A34" s="1" t="s">
        <v>31</v>
      </c>
      <c r="B34" s="5">
        <v>189</v>
      </c>
      <c r="C34" s="5">
        <v>155</v>
      </c>
      <c r="D34" s="5">
        <v>129</v>
      </c>
      <c r="E34" s="5">
        <v>95</v>
      </c>
      <c r="F34" s="5">
        <v>115</v>
      </c>
      <c r="G34" s="4">
        <v>151</v>
      </c>
      <c r="H34" s="57">
        <v>141</v>
      </c>
      <c r="I34" s="4">
        <v>131</v>
      </c>
      <c r="J34" s="4">
        <v>150</v>
      </c>
    </row>
    <row r="35" spans="1:10">
      <c r="A35" s="1" t="s">
        <v>32</v>
      </c>
      <c r="B35" s="5">
        <v>9332</v>
      </c>
      <c r="C35" s="5">
        <v>7751</v>
      </c>
      <c r="D35" s="5">
        <v>6196</v>
      </c>
      <c r="E35" s="5">
        <v>7083</v>
      </c>
      <c r="F35" s="5">
        <v>9360</v>
      </c>
      <c r="G35" s="4">
        <v>13670</v>
      </c>
      <c r="H35" s="57">
        <v>15231</v>
      </c>
      <c r="I35" s="4">
        <v>16286</v>
      </c>
      <c r="J35" s="4">
        <v>13765</v>
      </c>
    </row>
    <row r="36" spans="1:10">
      <c r="A36" s="1" t="s">
        <v>33</v>
      </c>
      <c r="B36" s="5">
        <v>501</v>
      </c>
      <c r="C36" s="5">
        <v>399</v>
      </c>
      <c r="D36" s="5">
        <v>291</v>
      </c>
      <c r="E36" s="5">
        <v>245</v>
      </c>
      <c r="F36" s="5">
        <v>233</v>
      </c>
      <c r="G36" s="4">
        <v>268</v>
      </c>
      <c r="H36" s="57">
        <v>319</v>
      </c>
      <c r="I36" s="4">
        <v>317</v>
      </c>
      <c r="J36" s="4">
        <v>319</v>
      </c>
    </row>
    <row r="37" spans="1:10">
      <c r="A37" s="1" t="s">
        <v>34</v>
      </c>
      <c r="B37" s="5">
        <v>1753</v>
      </c>
      <c r="C37" s="5">
        <v>1343</v>
      </c>
      <c r="D37" s="5">
        <v>1270</v>
      </c>
      <c r="E37" s="5">
        <v>1451</v>
      </c>
      <c r="F37" s="5">
        <v>1654</v>
      </c>
      <c r="G37" s="4">
        <v>1838</v>
      </c>
      <c r="H37" s="57">
        <v>2024</v>
      </c>
      <c r="I37" s="4">
        <v>2054</v>
      </c>
      <c r="J37" s="4">
        <v>1953</v>
      </c>
    </row>
    <row r="38" spans="1:10">
      <c r="A38" s="1" t="s">
        <v>35</v>
      </c>
      <c r="B38" s="5">
        <v>3108</v>
      </c>
      <c r="C38" s="5">
        <v>2361</v>
      </c>
      <c r="D38" s="5">
        <v>1666</v>
      </c>
      <c r="E38" s="5">
        <v>1648</v>
      </c>
      <c r="F38" s="5">
        <v>1787</v>
      </c>
      <c r="G38" s="4">
        <v>2417</v>
      </c>
      <c r="H38" s="57">
        <v>2455</v>
      </c>
      <c r="I38" s="4">
        <v>2488</v>
      </c>
      <c r="J38" s="4">
        <v>2345</v>
      </c>
    </row>
    <row r="39" spans="1:10">
      <c r="A39" s="1" t="s">
        <v>36</v>
      </c>
      <c r="B39" s="5">
        <v>1536</v>
      </c>
      <c r="C39" s="5">
        <v>1412</v>
      </c>
      <c r="D39" s="5">
        <v>1086</v>
      </c>
      <c r="E39" s="5">
        <v>786</v>
      </c>
      <c r="F39" s="5">
        <v>728</v>
      </c>
      <c r="G39" s="4">
        <v>769</v>
      </c>
      <c r="H39" s="57">
        <v>910</v>
      </c>
      <c r="I39" s="4">
        <v>842</v>
      </c>
      <c r="J39" s="4">
        <v>971</v>
      </c>
    </row>
    <row r="40" spans="1:10">
      <c r="A40" s="1" t="s">
        <v>37</v>
      </c>
      <c r="B40" s="5">
        <v>282</v>
      </c>
      <c r="C40" s="5">
        <v>277</v>
      </c>
      <c r="D40" s="5">
        <v>238</v>
      </c>
      <c r="E40" s="5">
        <v>232</v>
      </c>
      <c r="F40" s="5">
        <v>275</v>
      </c>
      <c r="G40" s="4">
        <v>366</v>
      </c>
      <c r="H40" s="57">
        <v>399</v>
      </c>
      <c r="I40" s="4">
        <v>394</v>
      </c>
      <c r="J40" s="4">
        <v>398</v>
      </c>
    </row>
    <row r="41" spans="1:10">
      <c r="A41" s="1" t="s">
        <v>38</v>
      </c>
      <c r="B41" s="5">
        <v>2536</v>
      </c>
      <c r="C41" s="5">
        <v>2064</v>
      </c>
      <c r="D41" s="5">
        <v>1586</v>
      </c>
      <c r="E41" s="5">
        <v>1502</v>
      </c>
      <c r="F41" s="5">
        <v>1632</v>
      </c>
      <c r="G41" s="4">
        <v>1608</v>
      </c>
      <c r="H41" s="57">
        <v>1456</v>
      </c>
      <c r="I41" s="4">
        <v>1408</v>
      </c>
      <c r="J41" s="4">
        <v>1469</v>
      </c>
    </row>
    <row r="42" spans="1:10">
      <c r="A42" s="1" t="s">
        <v>39</v>
      </c>
      <c r="B42" s="5">
        <v>5586</v>
      </c>
      <c r="C42" s="5">
        <v>4910</v>
      </c>
      <c r="D42" s="5">
        <v>4499</v>
      </c>
      <c r="E42" s="5">
        <v>4554</v>
      </c>
      <c r="F42" s="5">
        <v>4390</v>
      </c>
      <c r="G42" s="4">
        <v>4771</v>
      </c>
      <c r="H42" s="57">
        <v>4977</v>
      </c>
      <c r="I42" s="4">
        <v>4827</v>
      </c>
      <c r="J42" s="4">
        <v>5014</v>
      </c>
    </row>
    <row r="43" spans="1:10">
      <c r="A43" s="1" t="s">
        <v>40</v>
      </c>
      <c r="B43" s="5">
        <v>3391</v>
      </c>
      <c r="C43" s="5">
        <v>3633</v>
      </c>
      <c r="D43" s="5">
        <v>3823</v>
      </c>
      <c r="E43" s="5">
        <v>5503</v>
      </c>
      <c r="F43" s="5">
        <v>6170</v>
      </c>
      <c r="G43" s="4">
        <v>9320</v>
      </c>
      <c r="H43" s="57">
        <v>10134</v>
      </c>
      <c r="I43" s="4">
        <v>10747</v>
      </c>
      <c r="J43" s="4">
        <v>9074</v>
      </c>
    </row>
    <row r="44" spans="1:10">
      <c r="A44" s="1" t="s">
        <v>41</v>
      </c>
      <c r="B44" s="5">
        <v>18593</v>
      </c>
      <c r="C44" s="5">
        <v>16703</v>
      </c>
      <c r="D44" s="5">
        <v>14201</v>
      </c>
      <c r="E44" s="5">
        <v>14037</v>
      </c>
      <c r="F44" s="5">
        <v>14838</v>
      </c>
      <c r="G44" s="4">
        <v>18188</v>
      </c>
      <c r="H44" s="57">
        <v>17930</v>
      </c>
      <c r="I44" s="4">
        <v>18052</v>
      </c>
      <c r="J44" s="4">
        <v>17233</v>
      </c>
    </row>
    <row r="45" spans="1:10">
      <c r="A45" s="1" t="s">
        <v>42</v>
      </c>
      <c r="B45" s="5">
        <v>9022</v>
      </c>
      <c r="C45" s="5">
        <v>7830</v>
      </c>
      <c r="D45" s="5">
        <v>6776</v>
      </c>
      <c r="E45" s="5">
        <v>7881</v>
      </c>
      <c r="F45" s="5">
        <v>9591</v>
      </c>
      <c r="G45" s="4">
        <v>12853</v>
      </c>
      <c r="H45" s="57">
        <v>13715</v>
      </c>
      <c r="I45" s="4">
        <v>13851</v>
      </c>
      <c r="J45" s="4">
        <v>13218</v>
      </c>
    </row>
    <row r="46" spans="1:10">
      <c r="A46" s="1" t="s">
        <v>43</v>
      </c>
      <c r="B46" s="5">
        <v>1851</v>
      </c>
      <c r="C46" s="5">
        <v>1878</v>
      </c>
      <c r="D46" s="5">
        <v>1083</v>
      </c>
      <c r="E46" s="5">
        <v>1133</v>
      </c>
      <c r="F46" s="5">
        <v>1095</v>
      </c>
      <c r="G46" s="4">
        <v>1414</v>
      </c>
      <c r="H46" s="59">
        <v>1420</v>
      </c>
      <c r="I46" s="4">
        <v>1349</v>
      </c>
      <c r="J46" s="4">
        <v>1465</v>
      </c>
    </row>
    <row r="47" spans="1:10">
      <c r="A47" s="1" t="s">
        <v>44</v>
      </c>
      <c r="B47" s="5">
        <v>226</v>
      </c>
      <c r="C47" s="5">
        <v>196</v>
      </c>
      <c r="D47" s="5">
        <v>197</v>
      </c>
      <c r="E47" s="5">
        <v>140</v>
      </c>
      <c r="F47" s="5">
        <v>122</v>
      </c>
      <c r="G47" s="4">
        <v>206</v>
      </c>
      <c r="H47" s="57">
        <v>227</v>
      </c>
      <c r="I47" s="4">
        <v>225</v>
      </c>
      <c r="J47" s="4">
        <v>226</v>
      </c>
    </row>
    <row r="48" spans="1:10">
      <c r="A48" s="1" t="s">
        <v>45</v>
      </c>
      <c r="B48" s="5">
        <v>590</v>
      </c>
      <c r="C48" s="5">
        <v>453</v>
      </c>
      <c r="D48" s="5">
        <v>331</v>
      </c>
      <c r="E48" s="5">
        <v>290</v>
      </c>
      <c r="F48" s="5">
        <v>267</v>
      </c>
      <c r="G48" s="4">
        <v>238</v>
      </c>
      <c r="H48" s="57">
        <v>273</v>
      </c>
      <c r="I48" s="4">
        <v>254</v>
      </c>
      <c r="J48" s="4">
        <v>288</v>
      </c>
    </row>
    <row r="49" spans="1:10">
      <c r="A49" s="1" t="s">
        <v>46</v>
      </c>
      <c r="B49" s="5">
        <v>2773</v>
      </c>
      <c r="C49" s="5">
        <v>2258</v>
      </c>
      <c r="D49" s="5">
        <v>2043</v>
      </c>
      <c r="E49" s="5">
        <v>2087</v>
      </c>
      <c r="F49" s="5">
        <v>1960</v>
      </c>
      <c r="G49" s="4">
        <v>2442</v>
      </c>
      <c r="H49" s="57">
        <v>2625</v>
      </c>
      <c r="I49" s="4">
        <v>2593</v>
      </c>
      <c r="J49" s="4">
        <v>2576</v>
      </c>
    </row>
    <row r="50" spans="1:10">
      <c r="A50" s="1" t="s">
        <v>47</v>
      </c>
      <c r="B50" s="5">
        <v>23130</v>
      </c>
      <c r="C50" s="5">
        <v>19570</v>
      </c>
      <c r="D50" s="5">
        <v>18642</v>
      </c>
      <c r="E50" s="5">
        <v>19668</v>
      </c>
      <c r="F50" s="5">
        <v>19870</v>
      </c>
      <c r="G50" s="4">
        <v>19782</v>
      </c>
      <c r="H50" s="57">
        <v>21507</v>
      </c>
      <c r="I50" s="4">
        <v>20753</v>
      </c>
      <c r="J50" s="4">
        <v>21669</v>
      </c>
    </row>
    <row r="51" spans="1:10">
      <c r="A51" s="1" t="s">
        <v>48</v>
      </c>
      <c r="B51" s="5">
        <v>10187</v>
      </c>
      <c r="C51" s="5">
        <v>9273</v>
      </c>
      <c r="D51" s="5">
        <v>8232</v>
      </c>
      <c r="E51" s="5">
        <v>7730</v>
      </c>
      <c r="F51" s="5">
        <v>7747</v>
      </c>
      <c r="G51" s="4">
        <v>8574</v>
      </c>
      <c r="H51" s="57">
        <v>8636</v>
      </c>
      <c r="I51" s="4">
        <v>8363</v>
      </c>
      <c r="J51" s="4">
        <v>8684</v>
      </c>
    </row>
    <row r="52" spans="1:10">
      <c r="A52" s="1" t="s">
        <v>49</v>
      </c>
      <c r="B52" s="5">
        <v>862</v>
      </c>
      <c r="C52" s="5">
        <v>778</v>
      </c>
      <c r="D52" s="5">
        <v>646</v>
      </c>
      <c r="E52" s="5">
        <v>567</v>
      </c>
      <c r="F52" s="5">
        <v>558</v>
      </c>
      <c r="G52" s="4">
        <v>667</v>
      </c>
      <c r="H52" s="57">
        <v>765</v>
      </c>
      <c r="I52" s="4">
        <v>728</v>
      </c>
      <c r="J52" s="4">
        <v>788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A84"/>
  <sheetViews>
    <sheetView topLeftCell="A58" zoomScale="90" zoomScaleNormal="90" workbookViewId="0">
      <selection activeCell="C89" sqref="C89"/>
    </sheetView>
  </sheetViews>
  <sheetFormatPr defaultRowHeight="15"/>
  <cols>
    <col min="1" max="1" width="20.5703125" customWidth="1"/>
    <col min="2" max="2" width="21.140625" customWidth="1"/>
    <col min="3" max="3" width="26" customWidth="1"/>
    <col min="4" max="4" width="22" customWidth="1"/>
    <col min="5" max="5" width="21.85546875" customWidth="1"/>
    <col min="6" max="6" width="19.7109375" customWidth="1"/>
    <col min="7" max="7" width="14.140625" customWidth="1"/>
    <col min="8" max="8" width="13" customWidth="1"/>
    <col min="9" max="9" width="11.7109375" customWidth="1"/>
    <col min="10" max="10" width="14.42578125" customWidth="1"/>
    <col min="11" max="11" width="14" customWidth="1"/>
    <col min="12" max="12" width="22.28515625" customWidth="1"/>
    <col min="13" max="13" width="22" customWidth="1"/>
    <col min="14" max="14" width="16" customWidth="1"/>
    <col min="15" max="15" width="15.140625" customWidth="1"/>
    <col min="16" max="16" width="12.28515625" customWidth="1"/>
    <col min="17" max="17" width="19" customWidth="1"/>
    <col min="18" max="18" width="13.5703125" customWidth="1"/>
    <col min="21" max="21" width="18.28515625" customWidth="1"/>
    <col min="22" max="22" width="16.42578125" customWidth="1"/>
    <col min="23" max="23" width="33.42578125" customWidth="1"/>
    <col min="24" max="24" width="23" customWidth="1"/>
    <col min="25" max="25" width="9.85546875" bestFit="1" customWidth="1"/>
    <col min="27" max="27" width="9.85546875" bestFit="1" customWidth="1"/>
    <col min="29" max="29" width="11.42578125" bestFit="1" customWidth="1"/>
    <col min="31" max="31" width="15" customWidth="1"/>
    <col min="32" max="32" width="16.85546875" customWidth="1"/>
    <col min="47" max="48" width="8.7109375" style="3"/>
    <col min="51" max="51" width="9.5703125" bestFit="1" customWidth="1"/>
    <col min="52" max="52" width="10.7109375" customWidth="1"/>
    <col min="53" max="53" width="11.85546875" customWidth="1"/>
    <col min="54" max="54" width="9.5703125" bestFit="1" customWidth="1"/>
  </cols>
  <sheetData>
    <row r="1" spans="1:53">
      <c r="A1" s="112" t="s">
        <v>136</v>
      </c>
    </row>
    <row r="2" spans="1:53" ht="18.95" customHeight="1">
      <c r="D2" s="256" t="s">
        <v>196</v>
      </c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Y2" s="8" t="s">
        <v>125</v>
      </c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T2" s="256" t="s">
        <v>127</v>
      </c>
      <c r="AU2" s="256"/>
      <c r="AV2" s="256"/>
      <c r="AW2" s="256"/>
      <c r="AX2" s="256"/>
      <c r="AY2" s="256"/>
      <c r="AZ2" s="256"/>
      <c r="BA2" s="256"/>
    </row>
    <row r="3" spans="1:53" s="103" customFormat="1" ht="90">
      <c r="B3" s="103" t="s">
        <v>124</v>
      </c>
      <c r="C3" s="103" t="s">
        <v>128</v>
      </c>
      <c r="D3" s="103" t="s">
        <v>89</v>
      </c>
      <c r="E3" s="103" t="s">
        <v>90</v>
      </c>
      <c r="F3" s="103" t="s">
        <v>91</v>
      </c>
      <c r="G3" s="103" t="s">
        <v>92</v>
      </c>
      <c r="H3" s="103" t="s">
        <v>93</v>
      </c>
      <c r="I3" s="103" t="s">
        <v>94</v>
      </c>
      <c r="J3" s="103" t="s">
        <v>95</v>
      </c>
      <c r="K3" s="103" t="s">
        <v>96</v>
      </c>
      <c r="L3" s="103" t="s">
        <v>97</v>
      </c>
      <c r="M3" s="103" t="s">
        <v>98</v>
      </c>
      <c r="N3" s="103" t="s">
        <v>99</v>
      </c>
      <c r="O3" s="103" t="s">
        <v>100</v>
      </c>
      <c r="P3" s="103" t="s">
        <v>101</v>
      </c>
      <c r="Q3" s="103" t="s">
        <v>102</v>
      </c>
      <c r="R3" s="103" t="s">
        <v>103</v>
      </c>
      <c r="S3" s="103" t="s">
        <v>104</v>
      </c>
      <c r="T3" s="103" t="s">
        <v>105</v>
      </c>
      <c r="U3" s="103" t="s">
        <v>106</v>
      </c>
      <c r="V3" s="103" t="s">
        <v>107</v>
      </c>
      <c r="W3" s="103" t="s">
        <v>108</v>
      </c>
      <c r="X3" s="103" t="s">
        <v>76</v>
      </c>
      <c r="Y3" s="103" t="s">
        <v>89</v>
      </c>
      <c r="Z3" s="103" t="s">
        <v>90</v>
      </c>
      <c r="AA3" s="103" t="s">
        <v>91</v>
      </c>
      <c r="AB3" s="103" t="s">
        <v>92</v>
      </c>
      <c r="AC3" s="103" t="s">
        <v>93</v>
      </c>
      <c r="AD3" s="103" t="s">
        <v>94</v>
      </c>
      <c r="AE3" s="103" t="s">
        <v>95</v>
      </c>
      <c r="AF3" s="103" t="s">
        <v>96</v>
      </c>
      <c r="AG3" s="103" t="s">
        <v>97</v>
      </c>
      <c r="AH3" s="103" t="s">
        <v>98</v>
      </c>
      <c r="AI3" s="103" t="s">
        <v>99</v>
      </c>
      <c r="AJ3" s="103" t="s">
        <v>100</v>
      </c>
      <c r="AK3" s="103" t="s">
        <v>101</v>
      </c>
      <c r="AL3" s="103" t="s">
        <v>102</v>
      </c>
      <c r="AM3" s="103" t="s">
        <v>103</v>
      </c>
      <c r="AN3" s="103" t="s">
        <v>104</v>
      </c>
      <c r="AO3" s="103" t="s">
        <v>105</v>
      </c>
      <c r="AP3" s="103" t="s">
        <v>106</v>
      </c>
      <c r="AQ3" s="103" t="s">
        <v>107</v>
      </c>
      <c r="AR3" s="103" t="s">
        <v>108</v>
      </c>
      <c r="AS3" s="104"/>
      <c r="AT3" s="105" t="s">
        <v>89</v>
      </c>
      <c r="AU3" s="105" t="s">
        <v>109</v>
      </c>
      <c r="AV3" s="104" t="s">
        <v>110</v>
      </c>
      <c r="AW3" s="105" t="s">
        <v>111</v>
      </c>
      <c r="AX3" s="104" t="s">
        <v>112</v>
      </c>
      <c r="AY3" s="105" t="s">
        <v>113</v>
      </c>
      <c r="AZ3" s="104" t="s">
        <v>114</v>
      </c>
      <c r="BA3" s="105" t="s">
        <v>115</v>
      </c>
    </row>
    <row r="4" spans="1:53" s="106" customFormat="1" ht="27.6" customHeight="1">
      <c r="A4" s="106" t="s">
        <v>56</v>
      </c>
      <c r="B4" s="106">
        <f t="shared" ref="B4:W4" si="0">SUM(B5:B13)</f>
        <v>64726</v>
      </c>
      <c r="C4" s="106">
        <f t="shared" si="0"/>
        <v>62593</v>
      </c>
      <c r="D4" s="106">
        <f t="shared" si="0"/>
        <v>8861</v>
      </c>
      <c r="E4" s="106">
        <f t="shared" si="0"/>
        <v>59</v>
      </c>
      <c r="F4" s="106">
        <f t="shared" si="0"/>
        <v>2754</v>
      </c>
      <c r="G4" s="106">
        <f t="shared" si="0"/>
        <v>421</v>
      </c>
      <c r="H4" s="106">
        <f t="shared" si="0"/>
        <v>202</v>
      </c>
      <c r="I4" s="106">
        <f t="shared" si="0"/>
        <v>5703</v>
      </c>
      <c r="J4" s="106">
        <f t="shared" si="0"/>
        <v>9407</v>
      </c>
      <c r="K4" s="106">
        <f t="shared" si="0"/>
        <v>3354</v>
      </c>
      <c r="L4" s="106">
        <f t="shared" si="0"/>
        <v>5828</v>
      </c>
      <c r="M4" s="106">
        <f t="shared" si="0"/>
        <v>577</v>
      </c>
      <c r="N4" s="106">
        <f t="shared" si="0"/>
        <v>752</v>
      </c>
      <c r="O4" s="106">
        <f t="shared" si="0"/>
        <v>55</v>
      </c>
      <c r="P4" s="106">
        <f t="shared" si="0"/>
        <v>2068</v>
      </c>
      <c r="Q4" s="106">
        <f t="shared" si="0"/>
        <v>921</v>
      </c>
      <c r="R4" s="106">
        <f t="shared" si="0"/>
        <v>11089</v>
      </c>
      <c r="S4" s="106">
        <f t="shared" si="0"/>
        <v>5289</v>
      </c>
      <c r="T4" s="106">
        <f t="shared" si="0"/>
        <v>3423</v>
      </c>
      <c r="U4" s="106">
        <f t="shared" si="0"/>
        <v>496</v>
      </c>
      <c r="V4" s="106">
        <f t="shared" si="0"/>
        <v>972</v>
      </c>
      <c r="W4" s="106">
        <f t="shared" si="0"/>
        <v>362</v>
      </c>
      <c r="Y4" s="107">
        <f t="shared" ref="Y4:AR4" si="1">(D4/62593)*100</f>
        <v>14.1565350758072</v>
      </c>
      <c r="Z4" s="107">
        <f t="shared" si="1"/>
        <v>9.4259741504641101E-2</v>
      </c>
      <c r="AA4" s="107">
        <f t="shared" si="1"/>
        <v>4.3998530187081624</v>
      </c>
      <c r="AB4" s="107">
        <f t="shared" si="1"/>
        <v>0.67259917243142198</v>
      </c>
      <c r="AC4" s="107">
        <f t="shared" si="1"/>
        <v>0.32271979294809328</v>
      </c>
      <c r="AD4" s="107">
        <f t="shared" si="1"/>
        <v>9.1112424712028499</v>
      </c>
      <c r="AE4" s="107">
        <f t="shared" si="1"/>
        <v>15.028837090409471</v>
      </c>
      <c r="AF4" s="107">
        <f t="shared" si="1"/>
        <v>5.3584266611282416</v>
      </c>
      <c r="AG4" s="107">
        <f t="shared" si="1"/>
        <v>9.3109453133737006</v>
      </c>
      <c r="AH4" s="107">
        <f t="shared" si="1"/>
        <v>0.92182831946064259</v>
      </c>
      <c r="AI4" s="107">
        <f t="shared" si="1"/>
        <v>1.2014122984998323</v>
      </c>
      <c r="AJ4" s="107">
        <f t="shared" si="1"/>
        <v>8.7869250555173903E-2</v>
      </c>
      <c r="AK4" s="107">
        <f t="shared" si="1"/>
        <v>3.3038838208745389</v>
      </c>
      <c r="AL4" s="107">
        <f t="shared" si="1"/>
        <v>1.4714105411148211</v>
      </c>
      <c r="AM4" s="107">
        <f t="shared" si="1"/>
        <v>17.716038534660424</v>
      </c>
      <c r="AN4" s="107">
        <f t="shared" si="1"/>
        <v>8.4498266579329968</v>
      </c>
      <c r="AO4" s="107">
        <f t="shared" si="1"/>
        <v>5.4686626300065502</v>
      </c>
      <c r="AP4" s="107">
        <f t="shared" si="1"/>
        <v>0.79242087773393199</v>
      </c>
      <c r="AQ4" s="107">
        <f t="shared" si="1"/>
        <v>1.5528893007205278</v>
      </c>
      <c r="AR4" s="107">
        <f t="shared" si="1"/>
        <v>0.57833943092678086</v>
      </c>
      <c r="AS4" s="108" t="s">
        <v>56</v>
      </c>
      <c r="AT4" s="109">
        <f>SUM(AT5:AT13)</f>
        <v>8861</v>
      </c>
      <c r="AU4" s="110">
        <f>(AT4/62593)*100</f>
        <v>14.1565350758072</v>
      </c>
      <c r="AV4" s="109">
        <f>SUM(AV5:AV13)</f>
        <v>9139</v>
      </c>
      <c r="AW4" s="110">
        <f>(AV4/62593)*100</f>
        <v>14.600674196795168</v>
      </c>
      <c r="AX4" s="109">
        <f>SUM(AX5:AX13)</f>
        <v>44596</v>
      </c>
      <c r="AY4" s="110">
        <f>(AX4/62593)*100</f>
        <v>71.247583595609726</v>
      </c>
      <c r="AZ4" s="109">
        <f>SUM(AZ5:AZ13)</f>
        <v>19801</v>
      </c>
      <c r="BA4" s="110">
        <f>(AZ4/62593)*100</f>
        <v>31.634527822599974</v>
      </c>
    </row>
    <row r="5" spans="1:53" s="112" customFormat="1">
      <c r="A5" s="111" t="s">
        <v>1</v>
      </c>
      <c r="B5" s="112">
        <v>79</v>
      </c>
      <c r="C5" s="113">
        <f t="shared" ref="C5:C13" si="2">SUM(D5:W5)</f>
        <v>77</v>
      </c>
      <c r="D5" s="112">
        <v>26</v>
      </c>
      <c r="E5" s="112">
        <v>0</v>
      </c>
      <c r="F5" s="112">
        <v>1</v>
      </c>
      <c r="G5" s="112">
        <v>1</v>
      </c>
      <c r="H5" s="112">
        <v>0</v>
      </c>
      <c r="I5" s="112">
        <v>10</v>
      </c>
      <c r="J5" s="112">
        <v>6</v>
      </c>
      <c r="K5" s="112">
        <v>6</v>
      </c>
      <c r="L5" s="112">
        <v>9</v>
      </c>
      <c r="M5" s="112">
        <v>0</v>
      </c>
      <c r="N5" s="112">
        <v>0</v>
      </c>
      <c r="O5" s="112">
        <v>0</v>
      </c>
      <c r="P5" s="112">
        <v>1</v>
      </c>
      <c r="Q5" s="112">
        <v>1</v>
      </c>
      <c r="R5" s="112">
        <v>11</v>
      </c>
      <c r="S5" s="112">
        <v>3</v>
      </c>
      <c r="T5" s="112">
        <v>1</v>
      </c>
      <c r="U5" s="112">
        <v>0</v>
      </c>
      <c r="V5" s="112">
        <v>1</v>
      </c>
      <c r="W5" s="112">
        <v>0</v>
      </c>
      <c r="Y5" s="114">
        <f t="shared" ref="Y5:AR5" si="3">(D5/77)*100</f>
        <v>33.766233766233768</v>
      </c>
      <c r="Z5" s="114">
        <f t="shared" si="3"/>
        <v>0</v>
      </c>
      <c r="AA5" s="114">
        <f t="shared" si="3"/>
        <v>1.2987012987012987</v>
      </c>
      <c r="AB5" s="114">
        <f t="shared" si="3"/>
        <v>1.2987012987012987</v>
      </c>
      <c r="AC5" s="114">
        <f t="shared" si="3"/>
        <v>0</v>
      </c>
      <c r="AD5" s="114">
        <f t="shared" si="3"/>
        <v>12.987012987012985</v>
      </c>
      <c r="AE5" s="114">
        <f t="shared" si="3"/>
        <v>7.7922077922077921</v>
      </c>
      <c r="AF5" s="114">
        <f t="shared" si="3"/>
        <v>7.7922077922077921</v>
      </c>
      <c r="AG5" s="114">
        <f t="shared" si="3"/>
        <v>11.688311688311687</v>
      </c>
      <c r="AH5" s="114">
        <f t="shared" si="3"/>
        <v>0</v>
      </c>
      <c r="AI5" s="114">
        <f t="shared" si="3"/>
        <v>0</v>
      </c>
      <c r="AJ5" s="114">
        <f t="shared" si="3"/>
        <v>0</v>
      </c>
      <c r="AK5" s="114">
        <f t="shared" si="3"/>
        <v>1.2987012987012987</v>
      </c>
      <c r="AL5" s="114">
        <f t="shared" si="3"/>
        <v>1.2987012987012987</v>
      </c>
      <c r="AM5" s="114">
        <f t="shared" si="3"/>
        <v>14.285714285714285</v>
      </c>
      <c r="AN5" s="114">
        <f t="shared" si="3"/>
        <v>3.8961038961038961</v>
      </c>
      <c r="AO5" s="114">
        <f t="shared" si="3"/>
        <v>1.2987012987012987</v>
      </c>
      <c r="AP5" s="114">
        <f t="shared" si="3"/>
        <v>0</v>
      </c>
      <c r="AQ5" s="114">
        <f t="shared" si="3"/>
        <v>1.2987012987012987</v>
      </c>
      <c r="AR5" s="114">
        <f t="shared" si="3"/>
        <v>0</v>
      </c>
      <c r="AS5" s="111" t="s">
        <v>1</v>
      </c>
      <c r="AT5" s="115">
        <v>26</v>
      </c>
      <c r="AU5" s="116">
        <v>33.766233766233768</v>
      </c>
      <c r="AV5" s="117">
        <f t="shared" ref="AV5:AV13" si="4">E5+F5+G5+H5+I5</f>
        <v>12</v>
      </c>
      <c r="AW5" s="116">
        <f t="shared" ref="AW5:AW13" si="5">SUM(Z5+AA5+AB5+AC5+AD5)</f>
        <v>15.584415584415583</v>
      </c>
      <c r="AX5" s="117">
        <v>39</v>
      </c>
      <c r="AY5" s="116">
        <f t="shared" ref="AY5:AY13" si="6">SUM(AE5:AR5)</f>
        <v>50.649350649350644</v>
      </c>
      <c r="AZ5" s="117">
        <v>15</v>
      </c>
      <c r="BA5" s="116">
        <f t="shared" ref="BA5:BA13" si="7">AM5+AN5+AO5</f>
        <v>19.480519480519479</v>
      </c>
    </row>
    <row r="6" spans="1:53" s="112" customFormat="1">
      <c r="A6" s="111" t="s">
        <v>2</v>
      </c>
      <c r="B6" s="112">
        <v>27296</v>
      </c>
      <c r="C6" s="113">
        <f t="shared" si="2"/>
        <v>26661</v>
      </c>
      <c r="D6" s="112">
        <v>4823</v>
      </c>
      <c r="E6" s="112">
        <v>16</v>
      </c>
      <c r="F6" s="112">
        <v>1345</v>
      </c>
      <c r="G6" s="112">
        <v>151</v>
      </c>
      <c r="H6" s="112">
        <v>108</v>
      </c>
      <c r="I6" s="112">
        <v>2171</v>
      </c>
      <c r="J6" s="112">
        <v>3948</v>
      </c>
      <c r="K6" s="112">
        <v>1003</v>
      </c>
      <c r="L6" s="112">
        <v>2289</v>
      </c>
      <c r="M6" s="112">
        <v>273</v>
      </c>
      <c r="N6" s="112">
        <v>330</v>
      </c>
      <c r="O6" s="112">
        <v>29</v>
      </c>
      <c r="P6" s="112">
        <v>873</v>
      </c>
      <c r="Q6" s="112">
        <v>402</v>
      </c>
      <c r="R6" s="112">
        <v>4303</v>
      </c>
      <c r="S6" s="112">
        <v>2353</v>
      </c>
      <c r="T6" s="112">
        <v>1516</v>
      </c>
      <c r="U6" s="112">
        <v>228</v>
      </c>
      <c r="V6" s="112">
        <v>419</v>
      </c>
      <c r="W6" s="112">
        <v>81</v>
      </c>
      <c r="Y6" s="114">
        <f t="shared" ref="Y6:AR6" si="8">(D6/26662)*100</f>
        <v>18.089415647738356</v>
      </c>
      <c r="Z6" s="114">
        <f t="shared" si="8"/>
        <v>6.0010501837821625E-2</v>
      </c>
      <c r="AA6" s="114">
        <f t="shared" si="8"/>
        <v>5.0446328107418799</v>
      </c>
      <c r="AB6" s="114">
        <f t="shared" si="8"/>
        <v>0.56634911109444153</v>
      </c>
      <c r="AC6" s="114">
        <f t="shared" si="8"/>
        <v>0.40507088740529595</v>
      </c>
      <c r="AD6" s="114">
        <f t="shared" si="8"/>
        <v>8.1426749681194206</v>
      </c>
      <c r="AE6" s="114">
        <f t="shared" si="8"/>
        <v>14.807591328482484</v>
      </c>
      <c r="AF6" s="114">
        <f t="shared" si="8"/>
        <v>3.7619083339584427</v>
      </c>
      <c r="AG6" s="114">
        <f t="shared" si="8"/>
        <v>8.5852524191733561</v>
      </c>
      <c r="AH6" s="114">
        <f t="shared" si="8"/>
        <v>1.0239291876078314</v>
      </c>
      <c r="AI6" s="114">
        <f t="shared" si="8"/>
        <v>1.237716600405071</v>
      </c>
      <c r="AJ6" s="114">
        <f t="shared" si="8"/>
        <v>0.10876903458105168</v>
      </c>
      <c r="AK6" s="114">
        <f t="shared" si="8"/>
        <v>3.2743230065261422</v>
      </c>
      <c r="AL6" s="114">
        <f t="shared" si="8"/>
        <v>1.5077638586752682</v>
      </c>
      <c r="AM6" s="114">
        <f t="shared" si="8"/>
        <v>16.139074338009152</v>
      </c>
      <c r="AN6" s="114">
        <f t="shared" si="8"/>
        <v>8.8252944265246427</v>
      </c>
      <c r="AO6" s="114">
        <f t="shared" si="8"/>
        <v>5.6859950491335987</v>
      </c>
      <c r="AP6" s="114">
        <f t="shared" si="8"/>
        <v>0.85514965118895814</v>
      </c>
      <c r="AQ6" s="114">
        <f t="shared" si="8"/>
        <v>1.5715250168779535</v>
      </c>
      <c r="AR6" s="114">
        <f t="shared" si="8"/>
        <v>0.30380316555397191</v>
      </c>
      <c r="AS6" s="111" t="s">
        <v>2</v>
      </c>
      <c r="AT6" s="115">
        <v>4823</v>
      </c>
      <c r="AU6" s="116">
        <v>18.089415647738356</v>
      </c>
      <c r="AV6" s="117">
        <f t="shared" si="4"/>
        <v>3791</v>
      </c>
      <c r="AW6" s="116">
        <f t="shared" si="5"/>
        <v>14.21873827919886</v>
      </c>
      <c r="AX6" s="117">
        <v>18048</v>
      </c>
      <c r="AY6" s="116">
        <f t="shared" si="6"/>
        <v>67.688095416697919</v>
      </c>
      <c r="AZ6" s="117">
        <v>8172</v>
      </c>
      <c r="BA6" s="116">
        <f t="shared" si="7"/>
        <v>30.650363813667393</v>
      </c>
    </row>
    <row r="7" spans="1:53" s="112" customFormat="1">
      <c r="A7" s="111" t="s">
        <v>3</v>
      </c>
      <c r="B7" s="112">
        <v>5742</v>
      </c>
      <c r="C7" s="113">
        <f t="shared" si="2"/>
        <v>5614</v>
      </c>
      <c r="D7" s="112">
        <v>744</v>
      </c>
      <c r="E7" s="112">
        <v>3</v>
      </c>
      <c r="F7" s="112">
        <v>250</v>
      </c>
      <c r="G7" s="112">
        <v>56</v>
      </c>
      <c r="H7" s="112">
        <v>5</v>
      </c>
      <c r="I7" s="112">
        <v>479</v>
      </c>
      <c r="J7" s="112">
        <v>753</v>
      </c>
      <c r="K7" s="112">
        <v>201</v>
      </c>
      <c r="L7" s="112">
        <v>421</v>
      </c>
      <c r="M7" s="112">
        <v>34</v>
      </c>
      <c r="N7" s="112">
        <v>65</v>
      </c>
      <c r="O7" s="112">
        <v>4</v>
      </c>
      <c r="P7" s="112">
        <v>117</v>
      </c>
      <c r="Q7" s="112">
        <v>38</v>
      </c>
      <c r="R7" s="112">
        <v>1624</v>
      </c>
      <c r="S7" s="112">
        <v>354</v>
      </c>
      <c r="T7" s="112">
        <v>325</v>
      </c>
      <c r="U7" s="112">
        <v>29</v>
      </c>
      <c r="V7" s="112">
        <v>71</v>
      </c>
      <c r="W7" s="112">
        <v>41</v>
      </c>
      <c r="Y7" s="114">
        <f t="shared" ref="Y7:AR7" si="9">(D7/5614)*100</f>
        <v>13.252582828642678</v>
      </c>
      <c r="Z7" s="114">
        <f t="shared" si="9"/>
        <v>5.3437833986462416E-2</v>
      </c>
      <c r="AA7" s="114">
        <f t="shared" si="9"/>
        <v>4.453152832205201</v>
      </c>
      <c r="AB7" s="114">
        <f t="shared" si="9"/>
        <v>0.99750623441396502</v>
      </c>
      <c r="AC7" s="114">
        <f t="shared" si="9"/>
        <v>8.9063056644104022E-2</v>
      </c>
      <c r="AD7" s="114">
        <f t="shared" si="9"/>
        <v>8.5322408265051646</v>
      </c>
      <c r="AE7" s="114">
        <f t="shared" si="9"/>
        <v>13.412896330602067</v>
      </c>
      <c r="AF7" s="114">
        <f t="shared" si="9"/>
        <v>3.5803348770929819</v>
      </c>
      <c r="AG7" s="114">
        <f t="shared" si="9"/>
        <v>7.4991093694335582</v>
      </c>
      <c r="AH7" s="114">
        <f t="shared" si="9"/>
        <v>0.60562878517990737</v>
      </c>
      <c r="AI7" s="114">
        <f t="shared" si="9"/>
        <v>1.1578197363733522</v>
      </c>
      <c r="AJ7" s="114">
        <f t="shared" si="9"/>
        <v>7.1250445315283212E-2</v>
      </c>
      <c r="AK7" s="114">
        <f t="shared" si="9"/>
        <v>2.0840755254720342</v>
      </c>
      <c r="AL7" s="114">
        <f t="shared" si="9"/>
        <v>0.67687923049519061</v>
      </c>
      <c r="AM7" s="114">
        <f t="shared" si="9"/>
        <v>28.927680798004989</v>
      </c>
      <c r="AN7" s="114">
        <f t="shared" si="9"/>
        <v>6.3056644104025645</v>
      </c>
      <c r="AO7" s="114">
        <f t="shared" si="9"/>
        <v>5.7890986818667622</v>
      </c>
      <c r="AP7" s="114">
        <f t="shared" si="9"/>
        <v>0.5165657285358034</v>
      </c>
      <c r="AQ7" s="114">
        <f t="shared" si="9"/>
        <v>1.2646954043462773</v>
      </c>
      <c r="AR7" s="114">
        <f t="shared" si="9"/>
        <v>0.73031706448165301</v>
      </c>
      <c r="AS7" s="111" t="s">
        <v>3</v>
      </c>
      <c r="AT7" s="115">
        <v>744</v>
      </c>
      <c r="AU7" s="116">
        <v>13.252582828642678</v>
      </c>
      <c r="AV7" s="117">
        <f t="shared" si="4"/>
        <v>793</v>
      </c>
      <c r="AW7" s="116">
        <f t="shared" si="5"/>
        <v>14.125400783754898</v>
      </c>
      <c r="AX7" s="117">
        <v>4077</v>
      </c>
      <c r="AY7" s="116">
        <f t="shared" si="6"/>
        <v>72.622016387602443</v>
      </c>
      <c r="AZ7" s="117">
        <v>2303</v>
      </c>
      <c r="BA7" s="116">
        <f t="shared" si="7"/>
        <v>41.022443890274317</v>
      </c>
    </row>
    <row r="8" spans="1:53" s="112" customFormat="1">
      <c r="A8" s="111" t="s">
        <v>4</v>
      </c>
      <c r="B8" s="112">
        <v>2713</v>
      </c>
      <c r="C8" s="113">
        <f t="shared" si="2"/>
        <v>2188</v>
      </c>
      <c r="D8" s="112">
        <v>661</v>
      </c>
      <c r="E8" s="112">
        <v>4</v>
      </c>
      <c r="F8" s="112">
        <v>41</v>
      </c>
      <c r="G8" s="112">
        <v>49</v>
      </c>
      <c r="H8" s="112">
        <v>2</v>
      </c>
      <c r="I8" s="112">
        <v>330</v>
      </c>
      <c r="J8" s="112">
        <v>105</v>
      </c>
      <c r="K8" s="112">
        <v>171</v>
      </c>
      <c r="L8" s="112">
        <v>231</v>
      </c>
      <c r="M8" s="112">
        <v>18</v>
      </c>
      <c r="N8" s="112">
        <v>23</v>
      </c>
      <c r="O8" s="112">
        <v>1</v>
      </c>
      <c r="P8" s="112">
        <v>52</v>
      </c>
      <c r="Q8" s="112">
        <v>15</v>
      </c>
      <c r="R8" s="112">
        <v>197</v>
      </c>
      <c r="S8" s="112">
        <v>113</v>
      </c>
      <c r="T8" s="112">
        <v>131</v>
      </c>
      <c r="U8" s="112">
        <v>7</v>
      </c>
      <c r="V8" s="112">
        <v>29</v>
      </c>
      <c r="W8" s="112">
        <v>8</v>
      </c>
      <c r="Y8" s="114">
        <f t="shared" ref="Y8:AR8" si="10">(D8/2188)*100</f>
        <v>30.210237659963436</v>
      </c>
      <c r="Z8" s="114">
        <f t="shared" si="10"/>
        <v>0.18281535648994515</v>
      </c>
      <c r="AA8" s="114">
        <f t="shared" si="10"/>
        <v>1.8738574040219378</v>
      </c>
      <c r="AB8" s="114">
        <f t="shared" si="10"/>
        <v>2.2394881170018284</v>
      </c>
      <c r="AC8" s="114">
        <f t="shared" si="10"/>
        <v>9.1407678244972576E-2</v>
      </c>
      <c r="AD8" s="114">
        <f t="shared" si="10"/>
        <v>15.082266910420476</v>
      </c>
      <c r="AE8" s="114">
        <f t="shared" si="10"/>
        <v>4.7989031078610607</v>
      </c>
      <c r="AF8" s="114">
        <f t="shared" si="10"/>
        <v>7.8153564899451551</v>
      </c>
      <c r="AG8" s="114">
        <f t="shared" si="10"/>
        <v>10.557586837294334</v>
      </c>
      <c r="AH8" s="114">
        <f t="shared" si="10"/>
        <v>0.82266910420475314</v>
      </c>
      <c r="AI8" s="114">
        <f t="shared" si="10"/>
        <v>1.0511882998171846</v>
      </c>
      <c r="AJ8" s="114">
        <f t="shared" si="10"/>
        <v>4.5703839122486288E-2</v>
      </c>
      <c r="AK8" s="114">
        <f t="shared" si="10"/>
        <v>2.376599634369287</v>
      </c>
      <c r="AL8" s="114">
        <f t="shared" si="10"/>
        <v>0.68555758683729429</v>
      </c>
      <c r="AM8" s="114">
        <f t="shared" si="10"/>
        <v>9.0036563071298001</v>
      </c>
      <c r="AN8" s="114">
        <f t="shared" si="10"/>
        <v>5.1645338208409504</v>
      </c>
      <c r="AO8" s="114">
        <f t="shared" si="10"/>
        <v>5.9872029250457039</v>
      </c>
      <c r="AP8" s="114">
        <f t="shared" si="10"/>
        <v>0.31992687385740404</v>
      </c>
      <c r="AQ8" s="114">
        <f t="shared" si="10"/>
        <v>1.3254113345521024</v>
      </c>
      <c r="AR8" s="114">
        <f t="shared" si="10"/>
        <v>0.3656307129798903</v>
      </c>
      <c r="AS8" s="111" t="s">
        <v>4</v>
      </c>
      <c r="AT8" s="115">
        <v>661</v>
      </c>
      <c r="AU8" s="116">
        <v>30.210237659963436</v>
      </c>
      <c r="AV8" s="117">
        <f t="shared" si="4"/>
        <v>426</v>
      </c>
      <c r="AW8" s="116">
        <f t="shared" si="5"/>
        <v>19.469835466179159</v>
      </c>
      <c r="AX8" s="117">
        <v>1101</v>
      </c>
      <c r="AY8" s="116">
        <f t="shared" si="6"/>
        <v>50.319926873857405</v>
      </c>
      <c r="AZ8" s="117">
        <v>441</v>
      </c>
      <c r="BA8" s="116">
        <f t="shared" si="7"/>
        <v>20.155393053016454</v>
      </c>
    </row>
    <row r="9" spans="1:53" s="112" customFormat="1">
      <c r="A9" s="111" t="s">
        <v>5</v>
      </c>
      <c r="B9" s="113">
        <v>332</v>
      </c>
      <c r="C9" s="113">
        <f t="shared" si="2"/>
        <v>331</v>
      </c>
      <c r="D9" s="112">
        <v>30</v>
      </c>
      <c r="E9" s="112">
        <v>0</v>
      </c>
      <c r="F9" s="112">
        <v>15</v>
      </c>
      <c r="G9" s="112">
        <v>3</v>
      </c>
      <c r="H9" s="112">
        <v>1</v>
      </c>
      <c r="I9" s="112">
        <v>30</v>
      </c>
      <c r="J9" s="112">
        <v>41</v>
      </c>
      <c r="K9" s="112">
        <v>88</v>
      </c>
      <c r="L9" s="112">
        <v>26</v>
      </c>
      <c r="M9" s="112">
        <v>1</v>
      </c>
      <c r="N9" s="112">
        <v>1</v>
      </c>
      <c r="O9" s="112">
        <v>0</v>
      </c>
      <c r="P9" s="112">
        <v>1</v>
      </c>
      <c r="Q9" s="112">
        <v>5</v>
      </c>
      <c r="R9" s="112">
        <v>24</v>
      </c>
      <c r="S9" s="112">
        <v>34</v>
      </c>
      <c r="T9" s="112">
        <v>15</v>
      </c>
      <c r="U9" s="112">
        <v>3</v>
      </c>
      <c r="V9" s="112">
        <v>12</v>
      </c>
      <c r="W9" s="112">
        <v>1</v>
      </c>
      <c r="Y9" s="114">
        <f t="shared" ref="Y9:AR9" si="11">(D9/331)*100</f>
        <v>9.0634441087613293</v>
      </c>
      <c r="Z9" s="114">
        <f t="shared" si="11"/>
        <v>0</v>
      </c>
      <c r="AA9" s="114">
        <f t="shared" si="11"/>
        <v>4.5317220543806647</v>
      </c>
      <c r="AB9" s="114">
        <f t="shared" si="11"/>
        <v>0.90634441087613304</v>
      </c>
      <c r="AC9" s="114">
        <f t="shared" si="11"/>
        <v>0.30211480362537763</v>
      </c>
      <c r="AD9" s="114">
        <f t="shared" si="11"/>
        <v>9.0634441087613293</v>
      </c>
      <c r="AE9" s="114">
        <f t="shared" si="11"/>
        <v>12.386706948640484</v>
      </c>
      <c r="AF9" s="114">
        <f t="shared" si="11"/>
        <v>26.586102719033235</v>
      </c>
      <c r="AG9" s="114">
        <f t="shared" si="11"/>
        <v>7.8549848942598182</v>
      </c>
      <c r="AH9" s="114">
        <f t="shared" si="11"/>
        <v>0.30211480362537763</v>
      </c>
      <c r="AI9" s="114">
        <f t="shared" si="11"/>
        <v>0.30211480362537763</v>
      </c>
      <c r="AJ9" s="114">
        <f t="shared" si="11"/>
        <v>0</v>
      </c>
      <c r="AK9" s="114">
        <f t="shared" si="11"/>
        <v>0.30211480362537763</v>
      </c>
      <c r="AL9" s="114">
        <f t="shared" si="11"/>
        <v>1.5105740181268883</v>
      </c>
      <c r="AM9" s="114">
        <f t="shared" si="11"/>
        <v>7.2507552870090644</v>
      </c>
      <c r="AN9" s="114">
        <f t="shared" si="11"/>
        <v>10.271903323262841</v>
      </c>
      <c r="AO9" s="114">
        <f t="shared" si="11"/>
        <v>4.5317220543806647</v>
      </c>
      <c r="AP9" s="114">
        <f t="shared" si="11"/>
        <v>0.90634441087613304</v>
      </c>
      <c r="AQ9" s="114">
        <f t="shared" si="11"/>
        <v>3.6253776435045322</v>
      </c>
      <c r="AR9" s="114">
        <f t="shared" si="11"/>
        <v>0.30211480362537763</v>
      </c>
      <c r="AS9" s="111" t="s">
        <v>5</v>
      </c>
      <c r="AT9" s="115">
        <v>30</v>
      </c>
      <c r="AU9" s="116">
        <v>9.0634441087613293</v>
      </c>
      <c r="AV9" s="117">
        <f t="shared" si="4"/>
        <v>49</v>
      </c>
      <c r="AW9" s="116">
        <f t="shared" si="5"/>
        <v>14.803625377643504</v>
      </c>
      <c r="AX9" s="117">
        <v>252</v>
      </c>
      <c r="AY9" s="116">
        <f t="shared" si="6"/>
        <v>76.132930513595156</v>
      </c>
      <c r="AZ9" s="117">
        <v>73</v>
      </c>
      <c r="BA9" s="116">
        <f t="shared" si="7"/>
        <v>22.05438066465257</v>
      </c>
    </row>
    <row r="10" spans="1:53" s="112" customFormat="1">
      <c r="A10" s="111" t="s">
        <v>6</v>
      </c>
      <c r="B10" s="112">
        <v>11303</v>
      </c>
      <c r="C10" s="113">
        <f t="shared" si="2"/>
        <v>10907</v>
      </c>
      <c r="D10" s="112">
        <v>1215</v>
      </c>
      <c r="E10" s="112">
        <v>26</v>
      </c>
      <c r="F10" s="112">
        <v>320</v>
      </c>
      <c r="G10" s="112">
        <v>70</v>
      </c>
      <c r="H10" s="112">
        <v>27</v>
      </c>
      <c r="I10" s="112">
        <v>905</v>
      </c>
      <c r="J10" s="112">
        <v>1644</v>
      </c>
      <c r="K10" s="112">
        <v>492</v>
      </c>
      <c r="L10" s="112">
        <v>1649</v>
      </c>
      <c r="M10" s="112">
        <v>78</v>
      </c>
      <c r="N10" s="112">
        <v>86</v>
      </c>
      <c r="O10" s="112">
        <v>4</v>
      </c>
      <c r="P10" s="112">
        <v>349</v>
      </c>
      <c r="Q10" s="112">
        <v>196</v>
      </c>
      <c r="R10" s="112">
        <v>2214</v>
      </c>
      <c r="S10" s="112">
        <v>813</v>
      </c>
      <c r="T10" s="112">
        <v>551</v>
      </c>
      <c r="U10" s="112">
        <v>66</v>
      </c>
      <c r="V10" s="112">
        <v>156</v>
      </c>
      <c r="W10" s="112">
        <v>46</v>
      </c>
      <c r="Y10" s="114">
        <f t="shared" ref="Y10:AR10" si="12">(D10/10909)*100</f>
        <v>11.137592813273443</v>
      </c>
      <c r="Z10" s="114">
        <f t="shared" si="12"/>
        <v>0.23833531946099554</v>
      </c>
      <c r="AA10" s="114">
        <f t="shared" si="12"/>
        <v>2.9333577779814832</v>
      </c>
      <c r="AB10" s="114">
        <f t="shared" si="12"/>
        <v>0.64167201393344941</v>
      </c>
      <c r="AC10" s="114">
        <f t="shared" si="12"/>
        <v>0.24750206251718765</v>
      </c>
      <c r="AD10" s="114">
        <f t="shared" si="12"/>
        <v>8.2959024658538834</v>
      </c>
      <c r="AE10" s="114">
        <f t="shared" si="12"/>
        <v>15.07012558437987</v>
      </c>
      <c r="AF10" s="114">
        <f t="shared" si="12"/>
        <v>4.5100375836465307</v>
      </c>
      <c r="AG10" s="114">
        <f t="shared" si="12"/>
        <v>15.11595929966083</v>
      </c>
      <c r="AH10" s="114">
        <f t="shared" si="12"/>
        <v>0.71500595838298653</v>
      </c>
      <c r="AI10" s="114">
        <f t="shared" si="12"/>
        <v>0.78833990283252353</v>
      </c>
      <c r="AJ10" s="114">
        <f t="shared" si="12"/>
        <v>3.6666972224768543E-2</v>
      </c>
      <c r="AK10" s="114">
        <f t="shared" si="12"/>
        <v>3.1991933266110548</v>
      </c>
      <c r="AL10" s="114">
        <f t="shared" si="12"/>
        <v>1.7966816390136582</v>
      </c>
      <c r="AM10" s="114">
        <f t="shared" si="12"/>
        <v>20.295169126409387</v>
      </c>
      <c r="AN10" s="114">
        <f t="shared" si="12"/>
        <v>7.4525621046842057</v>
      </c>
      <c r="AO10" s="114">
        <f t="shared" si="12"/>
        <v>5.0508754239618661</v>
      </c>
      <c r="AP10" s="114">
        <f t="shared" si="12"/>
        <v>0.60500504170868086</v>
      </c>
      <c r="AQ10" s="114">
        <f t="shared" si="12"/>
        <v>1.4300119167659731</v>
      </c>
      <c r="AR10" s="114">
        <f t="shared" si="12"/>
        <v>0.42167018058483818</v>
      </c>
      <c r="AS10" s="111" t="s">
        <v>6</v>
      </c>
      <c r="AT10" s="115">
        <v>1215</v>
      </c>
      <c r="AU10" s="116">
        <v>11.137592813273443</v>
      </c>
      <c r="AV10" s="117">
        <f t="shared" si="4"/>
        <v>1348</v>
      </c>
      <c r="AW10" s="116">
        <f t="shared" si="5"/>
        <v>12.356769639747</v>
      </c>
      <c r="AX10" s="117">
        <v>8346</v>
      </c>
      <c r="AY10" s="116">
        <f t="shared" si="6"/>
        <v>76.487304060867174</v>
      </c>
      <c r="AZ10" s="117">
        <v>3578</v>
      </c>
      <c r="BA10" s="116">
        <f t="shared" si="7"/>
        <v>32.798606655055458</v>
      </c>
    </row>
    <row r="11" spans="1:53" s="112" customFormat="1">
      <c r="A11" s="111" t="s">
        <v>7</v>
      </c>
      <c r="B11" s="112">
        <v>16912</v>
      </c>
      <c r="C11" s="113">
        <f t="shared" si="2"/>
        <v>16510</v>
      </c>
      <c r="D11" s="112">
        <v>1320</v>
      </c>
      <c r="E11" s="112">
        <v>10</v>
      </c>
      <c r="F11" s="112">
        <v>780</v>
      </c>
      <c r="G11" s="112">
        <v>89</v>
      </c>
      <c r="H11" s="112">
        <v>58</v>
      </c>
      <c r="I11" s="112">
        <v>1741</v>
      </c>
      <c r="J11" s="112">
        <v>2908</v>
      </c>
      <c r="K11" s="112">
        <v>1321</v>
      </c>
      <c r="L11" s="112">
        <v>1182</v>
      </c>
      <c r="M11" s="112">
        <v>166</v>
      </c>
      <c r="N11" s="112">
        <v>242</v>
      </c>
      <c r="O11" s="112">
        <v>17</v>
      </c>
      <c r="P11" s="112">
        <v>673</v>
      </c>
      <c r="Q11" s="112">
        <v>257</v>
      </c>
      <c r="R11" s="112">
        <v>2673</v>
      </c>
      <c r="S11" s="112">
        <v>1568</v>
      </c>
      <c r="T11" s="112">
        <v>882</v>
      </c>
      <c r="U11" s="112">
        <v>163</v>
      </c>
      <c r="V11" s="112">
        <v>277</v>
      </c>
      <c r="W11" s="112">
        <v>183</v>
      </c>
      <c r="Y11" s="114">
        <f t="shared" ref="Y11:AR11" si="13">(D11/16510)*100</f>
        <v>7.9951544518473652</v>
      </c>
      <c r="Z11" s="114">
        <f t="shared" si="13"/>
        <v>6.0569351907934582E-2</v>
      </c>
      <c r="AA11" s="114">
        <f t="shared" si="13"/>
        <v>4.7244094488188972</v>
      </c>
      <c r="AB11" s="114">
        <f t="shared" si="13"/>
        <v>0.53906723198061779</v>
      </c>
      <c r="AC11" s="114">
        <f t="shared" si="13"/>
        <v>0.35130224106602059</v>
      </c>
      <c r="AD11" s="114">
        <f t="shared" si="13"/>
        <v>10.545124167171412</v>
      </c>
      <c r="AE11" s="114">
        <f t="shared" si="13"/>
        <v>17.613567534827375</v>
      </c>
      <c r="AF11" s="114">
        <f t="shared" si="13"/>
        <v>8.0012113870381576</v>
      </c>
      <c r="AG11" s="114">
        <f t="shared" si="13"/>
        <v>7.1592973955178678</v>
      </c>
      <c r="AH11" s="114">
        <f t="shared" si="13"/>
        <v>1.0054512416717141</v>
      </c>
      <c r="AI11" s="114">
        <f t="shared" si="13"/>
        <v>1.4657783161720168</v>
      </c>
      <c r="AJ11" s="114">
        <f t="shared" si="13"/>
        <v>0.1029678982434888</v>
      </c>
      <c r="AK11" s="114">
        <f t="shared" si="13"/>
        <v>4.0763173834039979</v>
      </c>
      <c r="AL11" s="114">
        <f t="shared" si="13"/>
        <v>1.5566323440339189</v>
      </c>
      <c r="AM11" s="114">
        <f t="shared" si="13"/>
        <v>16.190187764990917</v>
      </c>
      <c r="AN11" s="114">
        <f t="shared" si="13"/>
        <v>9.4972743791641427</v>
      </c>
      <c r="AO11" s="114">
        <f t="shared" si="13"/>
        <v>5.342216838279831</v>
      </c>
      <c r="AP11" s="114">
        <f t="shared" si="13"/>
        <v>0.98728043609933369</v>
      </c>
      <c r="AQ11" s="114">
        <f t="shared" si="13"/>
        <v>1.677771047849788</v>
      </c>
      <c r="AR11" s="114">
        <f t="shared" si="13"/>
        <v>1.108419139915203</v>
      </c>
      <c r="AS11" s="111" t="s">
        <v>7</v>
      </c>
      <c r="AT11" s="115">
        <v>1320</v>
      </c>
      <c r="AU11" s="116">
        <v>7.9951544518473652</v>
      </c>
      <c r="AV11" s="117">
        <f t="shared" si="4"/>
        <v>2678</v>
      </c>
      <c r="AW11" s="116">
        <f t="shared" si="5"/>
        <v>16.220472440944881</v>
      </c>
      <c r="AX11" s="117">
        <v>12512</v>
      </c>
      <c r="AY11" s="116">
        <f t="shared" si="6"/>
        <v>75.784373107207756</v>
      </c>
      <c r="AZ11" s="117">
        <v>5123</v>
      </c>
      <c r="BA11" s="116">
        <f t="shared" si="7"/>
        <v>31.029678982434891</v>
      </c>
    </row>
    <row r="12" spans="1:53" s="112" customFormat="1">
      <c r="A12" s="111" t="s">
        <v>8</v>
      </c>
      <c r="B12" s="112">
        <v>219</v>
      </c>
      <c r="C12" s="113">
        <f t="shared" si="2"/>
        <v>182</v>
      </c>
      <c r="D12" s="112">
        <v>26</v>
      </c>
      <c r="E12" s="112">
        <v>0</v>
      </c>
      <c r="F12" s="112">
        <v>1</v>
      </c>
      <c r="G12" s="112">
        <v>1</v>
      </c>
      <c r="H12" s="112">
        <v>1</v>
      </c>
      <c r="I12" s="112">
        <v>30</v>
      </c>
      <c r="J12" s="112">
        <v>1</v>
      </c>
      <c r="K12" s="112">
        <v>36</v>
      </c>
      <c r="L12" s="112">
        <v>12</v>
      </c>
      <c r="M12" s="112">
        <v>4</v>
      </c>
      <c r="N12" s="112">
        <v>5</v>
      </c>
      <c r="O12" s="112">
        <v>0</v>
      </c>
      <c r="P12" s="112">
        <v>1</v>
      </c>
      <c r="Q12" s="112">
        <v>4</v>
      </c>
      <c r="R12" s="112">
        <v>24</v>
      </c>
      <c r="S12" s="112">
        <v>31</v>
      </c>
      <c r="T12" s="112">
        <v>1</v>
      </c>
      <c r="U12" s="112">
        <v>0</v>
      </c>
      <c r="V12" s="112">
        <v>3</v>
      </c>
      <c r="W12" s="112">
        <v>1</v>
      </c>
      <c r="Y12" s="114">
        <f t="shared" ref="Y12:AR12" si="14">(D12/182)*100</f>
        <v>14.285714285714285</v>
      </c>
      <c r="Z12" s="114">
        <f t="shared" si="14"/>
        <v>0</v>
      </c>
      <c r="AA12" s="114">
        <f t="shared" si="14"/>
        <v>0.5494505494505495</v>
      </c>
      <c r="AB12" s="114">
        <f t="shared" si="14"/>
        <v>0.5494505494505495</v>
      </c>
      <c r="AC12" s="114">
        <f t="shared" si="14"/>
        <v>0.5494505494505495</v>
      </c>
      <c r="AD12" s="114">
        <f t="shared" si="14"/>
        <v>16.483516483516482</v>
      </c>
      <c r="AE12" s="114">
        <f t="shared" si="14"/>
        <v>0.5494505494505495</v>
      </c>
      <c r="AF12" s="114">
        <f t="shared" si="14"/>
        <v>19.780219780219781</v>
      </c>
      <c r="AG12" s="114">
        <f t="shared" si="14"/>
        <v>6.593406593406594</v>
      </c>
      <c r="AH12" s="114">
        <f t="shared" si="14"/>
        <v>2.197802197802198</v>
      </c>
      <c r="AI12" s="114">
        <f t="shared" si="14"/>
        <v>2.7472527472527473</v>
      </c>
      <c r="AJ12" s="114">
        <f t="shared" si="14"/>
        <v>0</v>
      </c>
      <c r="AK12" s="114">
        <f t="shared" si="14"/>
        <v>0.5494505494505495</v>
      </c>
      <c r="AL12" s="114">
        <f t="shared" si="14"/>
        <v>2.197802197802198</v>
      </c>
      <c r="AM12" s="114">
        <f t="shared" si="14"/>
        <v>13.186813186813188</v>
      </c>
      <c r="AN12" s="114">
        <f t="shared" si="14"/>
        <v>17.032967032967033</v>
      </c>
      <c r="AO12" s="114">
        <f t="shared" si="14"/>
        <v>0.5494505494505495</v>
      </c>
      <c r="AP12" s="114">
        <f t="shared" si="14"/>
        <v>0</v>
      </c>
      <c r="AQ12" s="114">
        <f t="shared" si="14"/>
        <v>1.6483516483516485</v>
      </c>
      <c r="AR12" s="114">
        <f t="shared" si="14"/>
        <v>0.5494505494505495</v>
      </c>
      <c r="AS12" s="111" t="s">
        <v>8</v>
      </c>
      <c r="AT12" s="115">
        <v>26</v>
      </c>
      <c r="AU12" s="116">
        <v>14.285714285714285</v>
      </c>
      <c r="AV12" s="117">
        <f t="shared" si="4"/>
        <v>33</v>
      </c>
      <c r="AW12" s="116">
        <f t="shared" si="5"/>
        <v>18.131868131868131</v>
      </c>
      <c r="AX12" s="117">
        <v>123</v>
      </c>
      <c r="AY12" s="116">
        <f t="shared" si="6"/>
        <v>67.582417582417605</v>
      </c>
      <c r="AZ12" s="117">
        <v>56</v>
      </c>
      <c r="BA12" s="116">
        <f t="shared" si="7"/>
        <v>30.76923076923077</v>
      </c>
    </row>
    <row r="13" spans="1:53" s="112" customFormat="1">
      <c r="A13" s="111" t="s">
        <v>9</v>
      </c>
      <c r="B13" s="112">
        <v>130</v>
      </c>
      <c r="C13" s="113">
        <f t="shared" si="2"/>
        <v>123</v>
      </c>
      <c r="D13" s="112">
        <v>16</v>
      </c>
      <c r="E13" s="112">
        <v>0</v>
      </c>
      <c r="F13" s="112">
        <v>1</v>
      </c>
      <c r="G13" s="112">
        <v>1</v>
      </c>
      <c r="H13" s="112">
        <v>0</v>
      </c>
      <c r="I13" s="112">
        <v>7</v>
      </c>
      <c r="J13" s="112">
        <v>1</v>
      </c>
      <c r="K13" s="112">
        <v>36</v>
      </c>
      <c r="L13" s="112">
        <v>9</v>
      </c>
      <c r="M13" s="112">
        <v>3</v>
      </c>
      <c r="N13" s="112">
        <v>0</v>
      </c>
      <c r="O13" s="112">
        <v>0</v>
      </c>
      <c r="P13" s="112">
        <v>1</v>
      </c>
      <c r="Q13" s="112">
        <v>3</v>
      </c>
      <c r="R13" s="112">
        <v>19</v>
      </c>
      <c r="S13" s="112">
        <v>20</v>
      </c>
      <c r="T13" s="112">
        <v>1</v>
      </c>
      <c r="U13" s="112">
        <v>0</v>
      </c>
      <c r="V13" s="112">
        <v>4</v>
      </c>
      <c r="W13" s="112">
        <v>1</v>
      </c>
      <c r="Y13" s="114">
        <f t="shared" ref="Y13:AR13" si="15">(D13/123)*100</f>
        <v>13.008130081300814</v>
      </c>
      <c r="Z13" s="114">
        <f t="shared" si="15"/>
        <v>0</v>
      </c>
      <c r="AA13" s="114">
        <f t="shared" si="15"/>
        <v>0.81300813008130091</v>
      </c>
      <c r="AB13" s="114">
        <f t="shared" si="15"/>
        <v>0.81300813008130091</v>
      </c>
      <c r="AC13" s="114">
        <f t="shared" si="15"/>
        <v>0</v>
      </c>
      <c r="AD13" s="114">
        <f t="shared" si="15"/>
        <v>5.6910569105691051</v>
      </c>
      <c r="AE13" s="114">
        <f t="shared" si="15"/>
        <v>0.81300813008130091</v>
      </c>
      <c r="AF13" s="114">
        <f t="shared" si="15"/>
        <v>29.268292682926827</v>
      </c>
      <c r="AG13" s="114">
        <f t="shared" si="15"/>
        <v>7.3170731707317067</v>
      </c>
      <c r="AH13" s="114">
        <f t="shared" si="15"/>
        <v>2.4390243902439024</v>
      </c>
      <c r="AI13" s="114">
        <f t="shared" si="15"/>
        <v>0</v>
      </c>
      <c r="AJ13" s="114">
        <f t="shared" si="15"/>
        <v>0</v>
      </c>
      <c r="AK13" s="114">
        <f t="shared" si="15"/>
        <v>0.81300813008130091</v>
      </c>
      <c r="AL13" s="114">
        <f t="shared" si="15"/>
        <v>2.4390243902439024</v>
      </c>
      <c r="AM13" s="114">
        <f t="shared" si="15"/>
        <v>15.447154471544716</v>
      </c>
      <c r="AN13" s="114">
        <f t="shared" si="15"/>
        <v>16.260162601626014</v>
      </c>
      <c r="AO13" s="114">
        <f t="shared" si="15"/>
        <v>0.81300813008130091</v>
      </c>
      <c r="AP13" s="114">
        <f t="shared" si="15"/>
        <v>0</v>
      </c>
      <c r="AQ13" s="114">
        <f t="shared" si="15"/>
        <v>3.2520325203252036</v>
      </c>
      <c r="AR13" s="114">
        <f t="shared" si="15"/>
        <v>0.81300813008130091</v>
      </c>
      <c r="AS13" s="111" t="s">
        <v>9</v>
      </c>
      <c r="AT13" s="115">
        <v>16</v>
      </c>
      <c r="AU13" s="116">
        <v>13.008130081300814</v>
      </c>
      <c r="AV13" s="117">
        <f t="shared" si="4"/>
        <v>9</v>
      </c>
      <c r="AW13" s="116">
        <f t="shared" si="5"/>
        <v>7.3170731707317067</v>
      </c>
      <c r="AX13" s="117">
        <v>98</v>
      </c>
      <c r="AY13" s="116">
        <f t="shared" si="6"/>
        <v>79.674796747967463</v>
      </c>
      <c r="AZ13" s="117">
        <v>40</v>
      </c>
      <c r="BA13" s="116">
        <f t="shared" si="7"/>
        <v>32.520325203252028</v>
      </c>
    </row>
    <row r="14" spans="1:53" s="119" customFormat="1">
      <c r="A14" s="118" t="s">
        <v>57</v>
      </c>
      <c r="B14" s="119">
        <f t="shared" ref="B14:W14" si="16">SUM(B15:B53)</f>
        <v>120535</v>
      </c>
      <c r="C14" s="119">
        <f t="shared" si="16"/>
        <v>118322</v>
      </c>
      <c r="D14" s="119">
        <f t="shared" si="16"/>
        <v>6175</v>
      </c>
      <c r="E14" s="119">
        <f t="shared" si="16"/>
        <v>411</v>
      </c>
      <c r="F14" s="119">
        <f t="shared" si="16"/>
        <v>5359</v>
      </c>
      <c r="G14" s="119">
        <f t="shared" si="16"/>
        <v>994</v>
      </c>
      <c r="H14" s="119">
        <f t="shared" si="16"/>
        <v>641</v>
      </c>
      <c r="I14" s="119">
        <f t="shared" si="16"/>
        <v>12625</v>
      </c>
      <c r="J14" s="119">
        <f t="shared" si="16"/>
        <v>19843</v>
      </c>
      <c r="K14" s="119">
        <f t="shared" si="16"/>
        <v>5765</v>
      </c>
      <c r="L14" s="119">
        <f t="shared" si="16"/>
        <v>28855</v>
      </c>
      <c r="M14" s="119">
        <f t="shared" si="16"/>
        <v>888</v>
      </c>
      <c r="N14" s="119">
        <f t="shared" si="16"/>
        <v>1475</v>
      </c>
      <c r="O14" s="119">
        <f t="shared" si="16"/>
        <v>122</v>
      </c>
      <c r="P14" s="119">
        <f t="shared" si="16"/>
        <v>4064</v>
      </c>
      <c r="Q14" s="119">
        <f t="shared" si="16"/>
        <v>3960</v>
      </c>
      <c r="R14" s="119">
        <f t="shared" si="16"/>
        <v>11497</v>
      </c>
      <c r="S14" s="119">
        <f t="shared" si="16"/>
        <v>7140</v>
      </c>
      <c r="T14" s="119">
        <f t="shared" si="16"/>
        <v>4655</v>
      </c>
      <c r="U14" s="119">
        <f t="shared" si="16"/>
        <v>1292</v>
      </c>
      <c r="V14" s="119">
        <f t="shared" si="16"/>
        <v>1860</v>
      </c>
      <c r="W14" s="119">
        <f t="shared" si="16"/>
        <v>701</v>
      </c>
      <c r="Y14" s="107">
        <f t="shared" ref="Y14:AR14" si="17">(D14/118322)*100</f>
        <v>5.2188096888152664</v>
      </c>
      <c r="Z14" s="107">
        <f t="shared" si="17"/>
        <v>0.34735721167661127</v>
      </c>
      <c r="AA14" s="107">
        <f t="shared" si="17"/>
        <v>4.5291661736617028</v>
      </c>
      <c r="AB14" s="107">
        <f t="shared" si="17"/>
        <v>0.84008045841010115</v>
      </c>
      <c r="AC14" s="107">
        <f t="shared" si="17"/>
        <v>0.54174202599685606</v>
      </c>
      <c r="AD14" s="107">
        <f t="shared" si="17"/>
        <v>10.670036003448217</v>
      </c>
      <c r="AE14" s="107">
        <f t="shared" si="17"/>
        <v>16.770338567637463</v>
      </c>
      <c r="AF14" s="107">
        <f t="shared" si="17"/>
        <v>4.8722976285052653</v>
      </c>
      <c r="AG14" s="107">
        <f t="shared" si="17"/>
        <v>24.38684268352462</v>
      </c>
      <c r="AH14" s="107">
        <f t="shared" si="17"/>
        <v>0.75049441354946667</v>
      </c>
      <c r="AI14" s="107">
        <f t="shared" si="17"/>
        <v>1.2465982657493957</v>
      </c>
      <c r="AJ14" s="107">
        <f t="shared" si="17"/>
        <v>0.10310846672639069</v>
      </c>
      <c r="AK14" s="107">
        <f t="shared" si="17"/>
        <v>3.434695153902064</v>
      </c>
      <c r="AL14" s="107">
        <f t="shared" si="17"/>
        <v>3.3467994117746489</v>
      </c>
      <c r="AM14" s="107">
        <f t="shared" si="17"/>
        <v>9.7167052619124092</v>
      </c>
      <c r="AN14" s="107">
        <f t="shared" si="17"/>
        <v>6.0343807575936852</v>
      </c>
      <c r="AO14" s="107">
        <f t="shared" si="17"/>
        <v>3.9341796115684322</v>
      </c>
      <c r="AP14" s="107">
        <f t="shared" si="17"/>
        <v>1.0919355656598098</v>
      </c>
      <c r="AQ14" s="107">
        <f t="shared" si="17"/>
        <v>1.5719815418941532</v>
      </c>
      <c r="AR14" s="107">
        <f t="shared" si="17"/>
        <v>0.59245110799344158</v>
      </c>
      <c r="AS14" s="118" t="s">
        <v>57</v>
      </c>
      <c r="AT14" s="120">
        <f>SUM(AT15:AT53)</f>
        <v>6175</v>
      </c>
      <c r="AU14" s="121">
        <f>(AT14/118322)*100</f>
        <v>5.2188096888152664</v>
      </c>
      <c r="AV14" s="120">
        <f>SUM(AV15:AV53)</f>
        <v>20030</v>
      </c>
      <c r="AW14" s="121">
        <f>(AV14/118322)*100</f>
        <v>16.928381873193487</v>
      </c>
      <c r="AX14" s="120">
        <f>SUM(AX15:AX53)</f>
        <v>92120</v>
      </c>
      <c r="AY14" s="121">
        <f>(AX14/118322)*100</f>
        <v>77.855343892091071</v>
      </c>
      <c r="AZ14" s="120">
        <f>SUM(AZ15:AZ53)</f>
        <v>23292</v>
      </c>
      <c r="BA14" s="121">
        <f>(AZ14/118322)*100</f>
        <v>19.685265631074525</v>
      </c>
    </row>
    <row r="15" spans="1:53" s="112" customFormat="1">
      <c r="A15" s="111" t="s">
        <v>11</v>
      </c>
      <c r="B15" s="112">
        <v>75</v>
      </c>
      <c r="C15" s="113">
        <f t="shared" ref="C15:C53" si="18">SUM(D15:W15)</f>
        <v>71</v>
      </c>
      <c r="D15" s="112">
        <v>24</v>
      </c>
      <c r="E15" s="112">
        <v>0</v>
      </c>
      <c r="F15" s="112">
        <v>1</v>
      </c>
      <c r="G15" s="112">
        <v>4</v>
      </c>
      <c r="H15" s="112">
        <v>1</v>
      </c>
      <c r="I15" s="112">
        <v>1</v>
      </c>
      <c r="J15" s="112">
        <v>5</v>
      </c>
      <c r="K15" s="112">
        <v>0</v>
      </c>
      <c r="L15" s="112">
        <v>8</v>
      </c>
      <c r="M15" s="112">
        <v>0</v>
      </c>
      <c r="N15" s="112">
        <v>0</v>
      </c>
      <c r="O15" s="112">
        <v>0</v>
      </c>
      <c r="P15" s="112">
        <v>0</v>
      </c>
      <c r="Q15" s="112">
        <v>0</v>
      </c>
      <c r="R15" s="112">
        <v>17</v>
      </c>
      <c r="S15" s="112">
        <v>7</v>
      </c>
      <c r="T15" s="112">
        <v>1</v>
      </c>
      <c r="U15" s="112">
        <v>1</v>
      </c>
      <c r="V15" s="112">
        <v>1</v>
      </c>
      <c r="W15" s="112">
        <v>0</v>
      </c>
      <c r="Y15" s="114">
        <f t="shared" ref="Y15:AR15" si="19">(D15/71)*100</f>
        <v>33.802816901408448</v>
      </c>
      <c r="Z15" s="114">
        <f t="shared" si="19"/>
        <v>0</v>
      </c>
      <c r="AA15" s="114">
        <f t="shared" si="19"/>
        <v>1.4084507042253522</v>
      </c>
      <c r="AB15" s="114">
        <f t="shared" si="19"/>
        <v>5.6338028169014089</v>
      </c>
      <c r="AC15" s="114">
        <f t="shared" si="19"/>
        <v>1.4084507042253522</v>
      </c>
      <c r="AD15" s="114">
        <f t="shared" si="19"/>
        <v>1.4084507042253522</v>
      </c>
      <c r="AE15" s="114">
        <f t="shared" si="19"/>
        <v>7.042253521126761</v>
      </c>
      <c r="AF15" s="114">
        <f t="shared" si="19"/>
        <v>0</v>
      </c>
      <c r="AG15" s="114">
        <f t="shared" si="19"/>
        <v>11.267605633802818</v>
      </c>
      <c r="AH15" s="114">
        <f t="shared" si="19"/>
        <v>0</v>
      </c>
      <c r="AI15" s="114">
        <f t="shared" si="19"/>
        <v>0</v>
      </c>
      <c r="AJ15" s="114">
        <f t="shared" si="19"/>
        <v>0</v>
      </c>
      <c r="AK15" s="114">
        <f t="shared" si="19"/>
        <v>0</v>
      </c>
      <c r="AL15" s="114">
        <f t="shared" si="19"/>
        <v>0</v>
      </c>
      <c r="AM15" s="114">
        <f t="shared" si="19"/>
        <v>23.943661971830984</v>
      </c>
      <c r="AN15" s="114">
        <f t="shared" si="19"/>
        <v>9.8591549295774641</v>
      </c>
      <c r="AO15" s="114">
        <f t="shared" si="19"/>
        <v>1.4084507042253522</v>
      </c>
      <c r="AP15" s="114">
        <f t="shared" si="19"/>
        <v>1.4084507042253522</v>
      </c>
      <c r="AQ15" s="114">
        <f t="shared" si="19"/>
        <v>1.4084507042253522</v>
      </c>
      <c r="AR15" s="114">
        <f t="shared" si="19"/>
        <v>0</v>
      </c>
      <c r="AS15" s="111" t="s">
        <v>11</v>
      </c>
      <c r="AT15" s="115">
        <v>24</v>
      </c>
      <c r="AU15" s="116">
        <v>33.802816901408448</v>
      </c>
      <c r="AV15" s="117">
        <f t="shared" ref="AV15:AV53" si="20">E15+F15+G15+H15+I15</f>
        <v>7</v>
      </c>
      <c r="AW15" s="116">
        <f t="shared" ref="AW15:AW53" si="21">SUM(Z15+AA15+AB15+AC15+AD15)</f>
        <v>9.8591549295774659</v>
      </c>
      <c r="AX15" s="117">
        <v>40</v>
      </c>
      <c r="AY15" s="116">
        <f t="shared" ref="AY15:AY53" si="22">SUM(AE15:AR15)</f>
        <v>56.338028169014081</v>
      </c>
      <c r="AZ15" s="117">
        <v>25</v>
      </c>
      <c r="BA15" s="116">
        <f t="shared" ref="BA15:BA53" si="23">AM15+AN15+AO15</f>
        <v>35.2112676056338</v>
      </c>
    </row>
    <row r="16" spans="1:53" s="112" customFormat="1">
      <c r="A16" s="111" t="s">
        <v>12</v>
      </c>
      <c r="B16" s="112">
        <v>438</v>
      </c>
      <c r="C16" s="113">
        <f t="shared" si="18"/>
        <v>322</v>
      </c>
      <c r="D16" s="112">
        <v>62</v>
      </c>
      <c r="E16" s="112">
        <v>3</v>
      </c>
      <c r="F16" s="112">
        <v>1</v>
      </c>
      <c r="G16" s="112">
        <v>14</v>
      </c>
      <c r="H16" s="112">
        <v>0</v>
      </c>
      <c r="I16" s="112">
        <v>1</v>
      </c>
      <c r="J16" s="112">
        <v>58</v>
      </c>
      <c r="K16" s="112">
        <v>19</v>
      </c>
      <c r="L16" s="112">
        <v>41</v>
      </c>
      <c r="M16" s="112">
        <v>1</v>
      </c>
      <c r="N16" s="112">
        <v>6</v>
      </c>
      <c r="O16" s="112">
        <v>1</v>
      </c>
      <c r="P16" s="112">
        <v>11</v>
      </c>
      <c r="Q16" s="112">
        <v>11</v>
      </c>
      <c r="R16" s="112">
        <v>44</v>
      </c>
      <c r="S16" s="112">
        <v>43</v>
      </c>
      <c r="T16" s="112">
        <v>1</v>
      </c>
      <c r="U16" s="112">
        <v>1</v>
      </c>
      <c r="V16" s="112">
        <v>1</v>
      </c>
      <c r="W16" s="112">
        <v>3</v>
      </c>
      <c r="Y16" s="114">
        <f t="shared" ref="Y16:AR16" si="24">(D16/322)*100</f>
        <v>19.254658385093169</v>
      </c>
      <c r="Z16" s="114">
        <f t="shared" si="24"/>
        <v>0.93167701863354035</v>
      </c>
      <c r="AA16" s="114">
        <f t="shared" si="24"/>
        <v>0.3105590062111801</v>
      </c>
      <c r="AB16" s="114">
        <f t="shared" si="24"/>
        <v>4.3478260869565215</v>
      </c>
      <c r="AC16" s="114">
        <f t="shared" si="24"/>
        <v>0</v>
      </c>
      <c r="AD16" s="114">
        <f t="shared" si="24"/>
        <v>0.3105590062111801</v>
      </c>
      <c r="AE16" s="114">
        <f t="shared" si="24"/>
        <v>18.012422360248447</v>
      </c>
      <c r="AF16" s="114">
        <f t="shared" si="24"/>
        <v>5.9006211180124222</v>
      </c>
      <c r="AG16" s="114">
        <f t="shared" si="24"/>
        <v>12.732919254658384</v>
      </c>
      <c r="AH16" s="114">
        <f t="shared" si="24"/>
        <v>0.3105590062111801</v>
      </c>
      <c r="AI16" s="114">
        <f t="shared" si="24"/>
        <v>1.8633540372670807</v>
      </c>
      <c r="AJ16" s="114">
        <f t="shared" si="24"/>
        <v>0.3105590062111801</v>
      </c>
      <c r="AK16" s="114">
        <f t="shared" si="24"/>
        <v>3.4161490683229814</v>
      </c>
      <c r="AL16" s="114">
        <f t="shared" si="24"/>
        <v>3.4161490683229814</v>
      </c>
      <c r="AM16" s="114">
        <f t="shared" si="24"/>
        <v>13.664596273291925</v>
      </c>
      <c r="AN16" s="114">
        <f t="shared" si="24"/>
        <v>13.354037267080745</v>
      </c>
      <c r="AO16" s="114">
        <f t="shared" si="24"/>
        <v>0.3105590062111801</v>
      </c>
      <c r="AP16" s="114">
        <f t="shared" si="24"/>
        <v>0.3105590062111801</v>
      </c>
      <c r="AQ16" s="114">
        <f t="shared" si="24"/>
        <v>0.3105590062111801</v>
      </c>
      <c r="AR16" s="114">
        <f t="shared" si="24"/>
        <v>0.93167701863354035</v>
      </c>
      <c r="AS16" s="111" t="s">
        <v>12</v>
      </c>
      <c r="AT16" s="115">
        <v>62</v>
      </c>
      <c r="AU16" s="116">
        <v>19.254658385093169</v>
      </c>
      <c r="AV16" s="117">
        <f t="shared" si="20"/>
        <v>19</v>
      </c>
      <c r="AW16" s="116">
        <f t="shared" si="21"/>
        <v>5.9006211180124222</v>
      </c>
      <c r="AX16" s="117">
        <v>241</v>
      </c>
      <c r="AY16" s="116">
        <f t="shared" si="22"/>
        <v>74.844720496894396</v>
      </c>
      <c r="AZ16" s="117">
        <v>88</v>
      </c>
      <c r="BA16" s="116">
        <f t="shared" si="23"/>
        <v>27.329192546583847</v>
      </c>
    </row>
    <row r="17" spans="1:53" s="112" customFormat="1">
      <c r="A17" s="111" t="s">
        <v>13</v>
      </c>
      <c r="B17" s="112">
        <v>4754</v>
      </c>
      <c r="C17" s="113">
        <f t="shared" si="18"/>
        <v>4754</v>
      </c>
      <c r="D17" s="112">
        <v>499</v>
      </c>
      <c r="E17" s="112">
        <v>3</v>
      </c>
      <c r="F17" s="112">
        <v>245</v>
      </c>
      <c r="G17" s="112">
        <v>67</v>
      </c>
      <c r="H17" s="112">
        <v>38</v>
      </c>
      <c r="I17" s="112">
        <v>589</v>
      </c>
      <c r="J17" s="112">
        <v>804</v>
      </c>
      <c r="K17" s="112">
        <v>449</v>
      </c>
      <c r="L17" s="112">
        <v>500</v>
      </c>
      <c r="M17" s="112">
        <v>39</v>
      </c>
      <c r="N17" s="112">
        <v>82</v>
      </c>
      <c r="O17" s="112">
        <v>4</v>
      </c>
      <c r="P17" s="112">
        <v>152</v>
      </c>
      <c r="Q17" s="112">
        <v>98</v>
      </c>
      <c r="R17" s="112">
        <v>342</v>
      </c>
      <c r="S17" s="112">
        <v>425</v>
      </c>
      <c r="T17" s="112">
        <v>262</v>
      </c>
      <c r="U17" s="112">
        <v>42</v>
      </c>
      <c r="V17" s="112">
        <v>99</v>
      </c>
      <c r="W17" s="112">
        <v>15</v>
      </c>
      <c r="Y17" s="114">
        <f t="shared" ref="Y17:AR17" si="25">(D17/4754)*100</f>
        <v>10.496424063946151</v>
      </c>
      <c r="Z17" s="114">
        <f t="shared" si="25"/>
        <v>6.3104753891459822E-2</v>
      </c>
      <c r="AA17" s="114">
        <f t="shared" si="25"/>
        <v>5.1535549011358857</v>
      </c>
      <c r="AB17" s="114">
        <f t="shared" si="25"/>
        <v>1.409339503575936</v>
      </c>
      <c r="AC17" s="114">
        <f t="shared" si="25"/>
        <v>0.79932688262515772</v>
      </c>
      <c r="AD17" s="114">
        <f t="shared" si="25"/>
        <v>12.389566680689946</v>
      </c>
      <c r="AE17" s="114">
        <f t="shared" si="25"/>
        <v>16.912074042911232</v>
      </c>
      <c r="AF17" s="114">
        <f t="shared" si="25"/>
        <v>9.4446781657551533</v>
      </c>
      <c r="AG17" s="114">
        <f t="shared" si="25"/>
        <v>10.51745898190997</v>
      </c>
      <c r="AH17" s="114">
        <f t="shared" si="25"/>
        <v>0.82036180058897779</v>
      </c>
      <c r="AI17" s="114">
        <f t="shared" si="25"/>
        <v>1.7248632730332349</v>
      </c>
      <c r="AJ17" s="114">
        <f t="shared" si="25"/>
        <v>8.4139671855279763E-2</v>
      </c>
      <c r="AK17" s="114">
        <f t="shared" si="25"/>
        <v>3.1973075305006309</v>
      </c>
      <c r="AL17" s="114">
        <f t="shared" si="25"/>
        <v>2.0614219604543544</v>
      </c>
      <c r="AM17" s="114">
        <f t="shared" si="25"/>
        <v>7.1939419436264194</v>
      </c>
      <c r="AN17" s="114">
        <f t="shared" si="25"/>
        <v>8.9398401346234753</v>
      </c>
      <c r="AO17" s="114">
        <f t="shared" si="25"/>
        <v>5.5111485065208239</v>
      </c>
      <c r="AP17" s="114">
        <f t="shared" si="25"/>
        <v>0.88346655448043754</v>
      </c>
      <c r="AQ17" s="114">
        <f t="shared" si="25"/>
        <v>2.0824568784181743</v>
      </c>
      <c r="AR17" s="114">
        <f t="shared" si="25"/>
        <v>0.3155237694572991</v>
      </c>
      <c r="AS17" s="111" t="s">
        <v>13</v>
      </c>
      <c r="AT17" s="115">
        <v>499</v>
      </c>
      <c r="AU17" s="116">
        <v>10.496424063946151</v>
      </c>
      <c r="AV17" s="117">
        <f t="shared" si="20"/>
        <v>942</v>
      </c>
      <c r="AW17" s="116">
        <f t="shared" si="21"/>
        <v>19.814892721918383</v>
      </c>
      <c r="AX17" s="117">
        <v>3313</v>
      </c>
      <c r="AY17" s="116">
        <f t="shared" si="22"/>
        <v>69.688683214135452</v>
      </c>
      <c r="AZ17" s="117">
        <v>1029</v>
      </c>
      <c r="BA17" s="116">
        <f t="shared" si="23"/>
        <v>21.644930584770719</v>
      </c>
    </row>
    <row r="18" spans="1:53" s="112" customFormat="1">
      <c r="A18" s="111" t="s">
        <v>14</v>
      </c>
      <c r="B18" s="112">
        <v>2262</v>
      </c>
      <c r="C18" s="113">
        <f t="shared" si="18"/>
        <v>2200</v>
      </c>
      <c r="D18" s="112">
        <v>175</v>
      </c>
      <c r="E18" s="112">
        <v>2</v>
      </c>
      <c r="F18" s="112">
        <v>101</v>
      </c>
      <c r="G18" s="112">
        <v>44</v>
      </c>
      <c r="H18" s="112">
        <v>12</v>
      </c>
      <c r="I18" s="112">
        <v>230</v>
      </c>
      <c r="J18" s="112">
        <v>311</v>
      </c>
      <c r="K18" s="112">
        <v>101</v>
      </c>
      <c r="L18" s="112">
        <v>555</v>
      </c>
      <c r="M18" s="112">
        <v>10</v>
      </c>
      <c r="N18" s="112">
        <v>30</v>
      </c>
      <c r="O18" s="112">
        <v>1</v>
      </c>
      <c r="P18" s="112">
        <v>52</v>
      </c>
      <c r="Q18" s="112">
        <v>81</v>
      </c>
      <c r="R18" s="112">
        <v>235</v>
      </c>
      <c r="S18" s="112">
        <v>138</v>
      </c>
      <c r="T18" s="112">
        <v>58</v>
      </c>
      <c r="U18" s="112">
        <v>19</v>
      </c>
      <c r="V18" s="112">
        <v>40</v>
      </c>
      <c r="W18" s="112">
        <v>5</v>
      </c>
      <c r="Y18" s="114">
        <f t="shared" ref="Y18:AR18" si="26">(D18/2200)*100</f>
        <v>7.9545454545454541</v>
      </c>
      <c r="Z18" s="114">
        <f t="shared" si="26"/>
        <v>9.0909090909090912E-2</v>
      </c>
      <c r="AA18" s="114">
        <f t="shared" si="26"/>
        <v>4.5909090909090908</v>
      </c>
      <c r="AB18" s="114">
        <f t="shared" si="26"/>
        <v>2</v>
      </c>
      <c r="AC18" s="114">
        <f t="shared" si="26"/>
        <v>0.54545454545454553</v>
      </c>
      <c r="AD18" s="114">
        <f t="shared" si="26"/>
        <v>10.454545454545453</v>
      </c>
      <c r="AE18" s="114">
        <f t="shared" si="26"/>
        <v>14.136363636363637</v>
      </c>
      <c r="AF18" s="114">
        <f t="shared" si="26"/>
        <v>4.5909090909090908</v>
      </c>
      <c r="AG18" s="114">
        <f t="shared" si="26"/>
        <v>25.227272727272727</v>
      </c>
      <c r="AH18" s="114">
        <f t="shared" si="26"/>
        <v>0.45454545454545453</v>
      </c>
      <c r="AI18" s="114">
        <f t="shared" si="26"/>
        <v>1.3636363636363635</v>
      </c>
      <c r="AJ18" s="114">
        <f t="shared" si="26"/>
        <v>4.5454545454545456E-2</v>
      </c>
      <c r="AK18" s="114">
        <f t="shared" si="26"/>
        <v>2.3636363636363638</v>
      </c>
      <c r="AL18" s="114">
        <f t="shared" si="26"/>
        <v>3.6818181818181821</v>
      </c>
      <c r="AM18" s="114">
        <f t="shared" si="26"/>
        <v>10.681818181818182</v>
      </c>
      <c r="AN18" s="114">
        <f t="shared" si="26"/>
        <v>6.2727272727272725</v>
      </c>
      <c r="AO18" s="114">
        <f t="shared" si="26"/>
        <v>2.6363636363636362</v>
      </c>
      <c r="AP18" s="114">
        <f t="shared" si="26"/>
        <v>0.86363636363636365</v>
      </c>
      <c r="AQ18" s="114">
        <f t="shared" si="26"/>
        <v>1.8181818181818181</v>
      </c>
      <c r="AR18" s="114">
        <f t="shared" si="26"/>
        <v>0.22727272727272727</v>
      </c>
      <c r="AS18" s="111" t="s">
        <v>14</v>
      </c>
      <c r="AT18" s="115">
        <v>175</v>
      </c>
      <c r="AU18" s="116">
        <v>7.9545454545454541</v>
      </c>
      <c r="AV18" s="117">
        <f t="shared" si="20"/>
        <v>389</v>
      </c>
      <c r="AW18" s="116">
        <f t="shared" si="21"/>
        <v>17.68181818181818</v>
      </c>
      <c r="AX18" s="117">
        <v>1636</v>
      </c>
      <c r="AY18" s="116">
        <f t="shared" si="22"/>
        <v>74.36363636363636</v>
      </c>
      <c r="AZ18" s="117">
        <v>431</v>
      </c>
      <c r="BA18" s="116">
        <f t="shared" si="23"/>
        <v>19.59090909090909</v>
      </c>
    </row>
    <row r="19" spans="1:53" s="112" customFormat="1">
      <c r="A19" s="111" t="s">
        <v>15</v>
      </c>
      <c r="B19" s="112">
        <v>267</v>
      </c>
      <c r="C19" s="113">
        <f t="shared" si="18"/>
        <v>264</v>
      </c>
      <c r="D19" s="112">
        <v>41</v>
      </c>
      <c r="E19" s="112">
        <v>0</v>
      </c>
      <c r="F19" s="112">
        <v>10</v>
      </c>
      <c r="G19" s="112">
        <v>1</v>
      </c>
      <c r="H19" s="112">
        <v>1</v>
      </c>
      <c r="I19" s="112">
        <v>41</v>
      </c>
      <c r="J19" s="112">
        <v>30</v>
      </c>
      <c r="K19" s="112">
        <v>36</v>
      </c>
      <c r="L19" s="112">
        <v>36</v>
      </c>
      <c r="M19" s="112">
        <v>1</v>
      </c>
      <c r="N19" s="112">
        <v>1</v>
      </c>
      <c r="O19" s="112">
        <v>0</v>
      </c>
      <c r="P19" s="112">
        <v>6</v>
      </c>
      <c r="Q19" s="112">
        <v>6</v>
      </c>
      <c r="R19" s="112">
        <v>17</v>
      </c>
      <c r="S19" s="112">
        <v>22</v>
      </c>
      <c r="T19" s="112">
        <v>9</v>
      </c>
      <c r="U19" s="112">
        <v>1</v>
      </c>
      <c r="V19" s="112">
        <v>4</v>
      </c>
      <c r="W19" s="112">
        <v>1</v>
      </c>
      <c r="Y19" s="114">
        <f t="shared" ref="Y19:AR19" si="27">(D19/264)*100</f>
        <v>15.530303030303031</v>
      </c>
      <c r="Z19" s="114">
        <f t="shared" si="27"/>
        <v>0</v>
      </c>
      <c r="AA19" s="114">
        <f t="shared" si="27"/>
        <v>3.7878787878787881</v>
      </c>
      <c r="AB19" s="114">
        <f t="shared" si="27"/>
        <v>0.37878787878787878</v>
      </c>
      <c r="AC19" s="114">
        <f t="shared" si="27"/>
        <v>0.37878787878787878</v>
      </c>
      <c r="AD19" s="114">
        <f t="shared" si="27"/>
        <v>15.530303030303031</v>
      </c>
      <c r="AE19" s="114">
        <f t="shared" si="27"/>
        <v>11.363636363636363</v>
      </c>
      <c r="AF19" s="114">
        <f t="shared" si="27"/>
        <v>13.636363636363635</v>
      </c>
      <c r="AG19" s="114">
        <f t="shared" si="27"/>
        <v>13.636363636363635</v>
      </c>
      <c r="AH19" s="114">
        <f t="shared" si="27"/>
        <v>0.37878787878787878</v>
      </c>
      <c r="AI19" s="114">
        <f t="shared" si="27"/>
        <v>0.37878787878787878</v>
      </c>
      <c r="AJ19" s="114">
        <f t="shared" si="27"/>
        <v>0</v>
      </c>
      <c r="AK19" s="114">
        <f t="shared" si="27"/>
        <v>2.2727272727272729</v>
      </c>
      <c r="AL19" s="114">
        <f t="shared" si="27"/>
        <v>2.2727272727272729</v>
      </c>
      <c r="AM19" s="114">
        <f t="shared" si="27"/>
        <v>6.4393939393939394</v>
      </c>
      <c r="AN19" s="114">
        <f t="shared" si="27"/>
        <v>8.3333333333333321</v>
      </c>
      <c r="AO19" s="114">
        <f t="shared" si="27"/>
        <v>3.4090909090909087</v>
      </c>
      <c r="AP19" s="114">
        <f t="shared" si="27"/>
        <v>0.37878787878787878</v>
      </c>
      <c r="AQ19" s="114">
        <f t="shared" si="27"/>
        <v>1.5151515151515151</v>
      </c>
      <c r="AR19" s="114">
        <f t="shared" si="27"/>
        <v>0.37878787878787878</v>
      </c>
      <c r="AS19" s="111" t="s">
        <v>15</v>
      </c>
      <c r="AT19" s="115">
        <v>41</v>
      </c>
      <c r="AU19" s="116">
        <v>15.530303030303031</v>
      </c>
      <c r="AV19" s="117">
        <f t="shared" si="20"/>
        <v>53</v>
      </c>
      <c r="AW19" s="116">
        <f t="shared" si="21"/>
        <v>20.075757575757578</v>
      </c>
      <c r="AX19" s="117">
        <v>170</v>
      </c>
      <c r="AY19" s="116">
        <f t="shared" si="22"/>
        <v>64.393939393939377</v>
      </c>
      <c r="AZ19" s="117">
        <v>48</v>
      </c>
      <c r="BA19" s="116">
        <f t="shared" si="23"/>
        <v>18.18181818181818</v>
      </c>
    </row>
    <row r="20" spans="1:53" s="112" customFormat="1">
      <c r="A20" s="111" t="s">
        <v>16</v>
      </c>
      <c r="B20" s="112">
        <v>15359</v>
      </c>
      <c r="C20" s="113">
        <f t="shared" si="18"/>
        <v>15260</v>
      </c>
      <c r="D20" s="112">
        <v>423</v>
      </c>
      <c r="E20" s="112">
        <v>1</v>
      </c>
      <c r="F20" s="112">
        <v>487</v>
      </c>
      <c r="G20" s="112">
        <v>77</v>
      </c>
      <c r="H20" s="112">
        <v>99</v>
      </c>
      <c r="I20" s="112">
        <v>882</v>
      </c>
      <c r="J20" s="112">
        <v>2205</v>
      </c>
      <c r="K20" s="112">
        <v>795</v>
      </c>
      <c r="L20" s="112">
        <v>5501</v>
      </c>
      <c r="M20" s="112">
        <v>93</v>
      </c>
      <c r="N20" s="112">
        <v>145</v>
      </c>
      <c r="O20" s="112">
        <v>4</v>
      </c>
      <c r="P20" s="112">
        <v>407</v>
      </c>
      <c r="Q20" s="112">
        <v>583</v>
      </c>
      <c r="R20" s="112">
        <v>2199</v>
      </c>
      <c r="S20" s="112">
        <v>645</v>
      </c>
      <c r="T20" s="112">
        <v>388</v>
      </c>
      <c r="U20" s="112">
        <v>118</v>
      </c>
      <c r="V20" s="112">
        <v>204</v>
      </c>
      <c r="W20" s="112">
        <v>4</v>
      </c>
      <c r="Y20" s="114">
        <f t="shared" ref="Y20:AR20" si="28">(D20/15261)*100</f>
        <v>2.7717711814428938</v>
      </c>
      <c r="Z20" s="114">
        <f t="shared" si="28"/>
        <v>6.5526505471463214E-3</v>
      </c>
      <c r="AA20" s="114">
        <f t="shared" si="28"/>
        <v>3.1911408164602584</v>
      </c>
      <c r="AB20" s="114">
        <f t="shared" si="28"/>
        <v>0.5045540921302667</v>
      </c>
      <c r="AC20" s="114">
        <f t="shared" si="28"/>
        <v>0.64871240416748577</v>
      </c>
      <c r="AD20" s="114">
        <f t="shared" si="28"/>
        <v>5.779437782583055</v>
      </c>
      <c r="AE20" s="114">
        <f t="shared" si="28"/>
        <v>14.448594456457636</v>
      </c>
      <c r="AF20" s="114">
        <f t="shared" si="28"/>
        <v>5.2093571849813252</v>
      </c>
      <c r="AG20" s="114">
        <f t="shared" si="28"/>
        <v>36.046130659851912</v>
      </c>
      <c r="AH20" s="114">
        <f t="shared" si="28"/>
        <v>0.60939650088460784</v>
      </c>
      <c r="AI20" s="114">
        <f t="shared" si="28"/>
        <v>0.95013432933621655</v>
      </c>
      <c r="AJ20" s="114">
        <f t="shared" si="28"/>
        <v>2.6210602188585286E-2</v>
      </c>
      <c r="AK20" s="114">
        <f t="shared" si="28"/>
        <v>2.6669287726885522</v>
      </c>
      <c r="AL20" s="114">
        <f t="shared" si="28"/>
        <v>3.8201952689863052</v>
      </c>
      <c r="AM20" s="114">
        <f t="shared" si="28"/>
        <v>14.40927855317476</v>
      </c>
      <c r="AN20" s="114">
        <f t="shared" si="28"/>
        <v>4.2264596029093768</v>
      </c>
      <c r="AO20" s="114">
        <f t="shared" si="28"/>
        <v>2.5424284122927725</v>
      </c>
      <c r="AP20" s="114">
        <f t="shared" si="28"/>
        <v>0.77321276456326582</v>
      </c>
      <c r="AQ20" s="114">
        <f t="shared" si="28"/>
        <v>1.3367407116178494</v>
      </c>
      <c r="AR20" s="114">
        <f t="shared" si="28"/>
        <v>2.6210602188585286E-2</v>
      </c>
      <c r="AS20" s="111" t="s">
        <v>16</v>
      </c>
      <c r="AT20" s="115">
        <v>423</v>
      </c>
      <c r="AU20" s="116">
        <v>2.7717711814428938</v>
      </c>
      <c r="AV20" s="117">
        <f t="shared" si="20"/>
        <v>1546</v>
      </c>
      <c r="AW20" s="116">
        <f t="shared" si="21"/>
        <v>10.130397745888212</v>
      </c>
      <c r="AX20" s="117">
        <v>13292</v>
      </c>
      <c r="AY20" s="116">
        <f t="shared" si="22"/>
        <v>87.091278422121746</v>
      </c>
      <c r="AZ20" s="117">
        <v>3232</v>
      </c>
      <c r="BA20" s="116">
        <f t="shared" si="23"/>
        <v>21.178166568376909</v>
      </c>
    </row>
    <row r="21" spans="1:53" s="112" customFormat="1">
      <c r="A21" s="111" t="s">
        <v>17</v>
      </c>
      <c r="B21" s="112">
        <v>285</v>
      </c>
      <c r="C21" s="113">
        <f t="shared" si="18"/>
        <v>283</v>
      </c>
      <c r="D21" s="112">
        <v>37</v>
      </c>
      <c r="E21" s="112">
        <v>0</v>
      </c>
      <c r="F21" s="112">
        <v>12</v>
      </c>
      <c r="G21" s="112">
        <v>4</v>
      </c>
      <c r="H21" s="112">
        <v>0</v>
      </c>
      <c r="I21" s="112">
        <v>41</v>
      </c>
      <c r="J21" s="112">
        <v>33</v>
      </c>
      <c r="K21" s="112">
        <v>11</v>
      </c>
      <c r="L21" s="112">
        <v>53</v>
      </c>
      <c r="M21" s="112">
        <v>1</v>
      </c>
      <c r="N21" s="112">
        <v>5</v>
      </c>
      <c r="O21" s="112">
        <v>1</v>
      </c>
      <c r="P21" s="112">
        <v>7</v>
      </c>
      <c r="Q21" s="112">
        <v>8</v>
      </c>
      <c r="R21" s="112">
        <v>28</v>
      </c>
      <c r="S21" s="112">
        <v>28</v>
      </c>
      <c r="T21" s="112">
        <v>8</v>
      </c>
      <c r="U21" s="112">
        <v>1</v>
      </c>
      <c r="V21" s="112">
        <v>4</v>
      </c>
      <c r="W21" s="112">
        <v>1</v>
      </c>
      <c r="Y21" s="114">
        <f t="shared" ref="Y21:AR21" si="29">(D21/283)*100</f>
        <v>13.074204946996467</v>
      </c>
      <c r="Z21" s="114">
        <f t="shared" si="29"/>
        <v>0</v>
      </c>
      <c r="AA21" s="114">
        <f t="shared" si="29"/>
        <v>4.2402826855123674</v>
      </c>
      <c r="AB21" s="114">
        <f t="shared" si="29"/>
        <v>1.4134275618374559</v>
      </c>
      <c r="AC21" s="114">
        <f t="shared" si="29"/>
        <v>0</v>
      </c>
      <c r="AD21" s="114">
        <f t="shared" si="29"/>
        <v>14.487632508833922</v>
      </c>
      <c r="AE21" s="114">
        <f t="shared" si="29"/>
        <v>11.66077738515901</v>
      </c>
      <c r="AF21" s="114">
        <f t="shared" si="29"/>
        <v>3.8869257950530036</v>
      </c>
      <c r="AG21" s="114">
        <f t="shared" si="29"/>
        <v>18.727915194346288</v>
      </c>
      <c r="AH21" s="114">
        <f t="shared" si="29"/>
        <v>0.35335689045936397</v>
      </c>
      <c r="AI21" s="114">
        <f t="shared" si="29"/>
        <v>1.7667844522968199</v>
      </c>
      <c r="AJ21" s="114">
        <f t="shared" si="29"/>
        <v>0.35335689045936397</v>
      </c>
      <c r="AK21" s="114">
        <f t="shared" si="29"/>
        <v>2.4734982332155475</v>
      </c>
      <c r="AL21" s="114">
        <f t="shared" si="29"/>
        <v>2.8268551236749118</v>
      </c>
      <c r="AM21" s="114">
        <f t="shared" si="29"/>
        <v>9.8939929328621901</v>
      </c>
      <c r="AN21" s="114">
        <f t="shared" si="29"/>
        <v>9.8939929328621901</v>
      </c>
      <c r="AO21" s="114">
        <f t="shared" si="29"/>
        <v>2.8268551236749118</v>
      </c>
      <c r="AP21" s="114">
        <f t="shared" si="29"/>
        <v>0.35335689045936397</v>
      </c>
      <c r="AQ21" s="114">
        <f t="shared" si="29"/>
        <v>1.4134275618374559</v>
      </c>
      <c r="AR21" s="114">
        <f t="shared" si="29"/>
        <v>0.35335689045936397</v>
      </c>
      <c r="AS21" s="111" t="s">
        <v>17</v>
      </c>
      <c r="AT21" s="115">
        <v>37</v>
      </c>
      <c r="AU21" s="116">
        <v>13.074204946996467</v>
      </c>
      <c r="AV21" s="117">
        <f t="shared" si="20"/>
        <v>57</v>
      </c>
      <c r="AW21" s="116">
        <f t="shared" si="21"/>
        <v>20.141342756183747</v>
      </c>
      <c r="AX21" s="117">
        <v>189</v>
      </c>
      <c r="AY21" s="116">
        <f t="shared" si="22"/>
        <v>66.784452296819794</v>
      </c>
      <c r="AZ21" s="117">
        <v>64</v>
      </c>
      <c r="BA21" s="116">
        <f t="shared" si="23"/>
        <v>22.614840989399291</v>
      </c>
    </row>
    <row r="22" spans="1:53" s="112" customFormat="1">
      <c r="A22" s="111" t="s">
        <v>18</v>
      </c>
      <c r="B22" s="112">
        <v>2632</v>
      </c>
      <c r="C22" s="113">
        <f t="shared" si="18"/>
        <v>2603</v>
      </c>
      <c r="D22" s="112">
        <v>169</v>
      </c>
      <c r="E22" s="112">
        <v>17</v>
      </c>
      <c r="F22" s="112">
        <v>108</v>
      </c>
      <c r="G22" s="112">
        <v>13</v>
      </c>
      <c r="H22" s="112">
        <v>21</v>
      </c>
      <c r="I22" s="112">
        <v>226</v>
      </c>
      <c r="J22" s="112">
        <v>335</v>
      </c>
      <c r="K22" s="112">
        <v>103</v>
      </c>
      <c r="L22" s="112">
        <v>223</v>
      </c>
      <c r="M22" s="112">
        <v>1</v>
      </c>
      <c r="N22" s="112">
        <v>31</v>
      </c>
      <c r="O22" s="112">
        <v>1</v>
      </c>
      <c r="P22" s="112">
        <v>64</v>
      </c>
      <c r="Q22" s="112">
        <v>46</v>
      </c>
      <c r="R22" s="112">
        <v>408</v>
      </c>
      <c r="S22" s="112">
        <v>158</v>
      </c>
      <c r="T22" s="112">
        <v>622</v>
      </c>
      <c r="U22" s="112">
        <v>25</v>
      </c>
      <c r="V22" s="112">
        <v>31</v>
      </c>
      <c r="W22" s="112">
        <v>1</v>
      </c>
      <c r="Y22" s="114">
        <f t="shared" ref="Y22:AR22" si="30">(D22/2603)*100</f>
        <v>6.4925086438724549</v>
      </c>
      <c r="Z22" s="114">
        <f t="shared" si="30"/>
        <v>0.6530925854782943</v>
      </c>
      <c r="AA22" s="114">
        <f t="shared" si="30"/>
        <v>4.1490587783326935</v>
      </c>
      <c r="AB22" s="114">
        <f t="shared" si="30"/>
        <v>0.49942374183634269</v>
      </c>
      <c r="AC22" s="114">
        <f t="shared" si="30"/>
        <v>0.80676142912024584</v>
      </c>
      <c r="AD22" s="114">
        <f t="shared" si="30"/>
        <v>8.6822896657702646</v>
      </c>
      <c r="AE22" s="114">
        <f t="shared" si="30"/>
        <v>12.869765655013445</v>
      </c>
      <c r="AF22" s="114">
        <f t="shared" si="30"/>
        <v>3.9569727237802534</v>
      </c>
      <c r="AG22" s="114">
        <f t="shared" si="30"/>
        <v>8.5670380330388021</v>
      </c>
      <c r="AH22" s="114">
        <f t="shared" si="30"/>
        <v>3.8417210910487901E-2</v>
      </c>
      <c r="AI22" s="114">
        <f t="shared" si="30"/>
        <v>1.1909335382251247</v>
      </c>
      <c r="AJ22" s="114">
        <f t="shared" si="30"/>
        <v>3.8417210910487901E-2</v>
      </c>
      <c r="AK22" s="114">
        <f t="shared" si="30"/>
        <v>2.4587014982712256</v>
      </c>
      <c r="AL22" s="114">
        <f t="shared" si="30"/>
        <v>1.7671917018824435</v>
      </c>
      <c r="AM22" s="114">
        <f t="shared" si="30"/>
        <v>15.674222051479061</v>
      </c>
      <c r="AN22" s="114">
        <f t="shared" si="30"/>
        <v>6.0699193238570874</v>
      </c>
      <c r="AO22" s="114">
        <f t="shared" si="30"/>
        <v>23.895505186323472</v>
      </c>
      <c r="AP22" s="114">
        <f t="shared" si="30"/>
        <v>0.9604302727621975</v>
      </c>
      <c r="AQ22" s="114">
        <f t="shared" si="30"/>
        <v>1.1909335382251247</v>
      </c>
      <c r="AR22" s="114">
        <f t="shared" si="30"/>
        <v>3.8417210910487901E-2</v>
      </c>
      <c r="AS22" s="111" t="s">
        <v>18</v>
      </c>
      <c r="AT22" s="115">
        <v>169</v>
      </c>
      <c r="AU22" s="116">
        <v>6.4925086438724549</v>
      </c>
      <c r="AV22" s="117">
        <f t="shared" si="20"/>
        <v>385</v>
      </c>
      <c r="AW22" s="116">
        <f t="shared" si="21"/>
        <v>14.79062620053784</v>
      </c>
      <c r="AX22" s="117">
        <v>2049</v>
      </c>
      <c r="AY22" s="116">
        <f t="shared" si="22"/>
        <v>78.716865155589687</v>
      </c>
      <c r="AZ22" s="117">
        <v>1188</v>
      </c>
      <c r="BA22" s="116">
        <f t="shared" si="23"/>
        <v>45.639646561659617</v>
      </c>
    </row>
    <row r="23" spans="1:53" s="112" customFormat="1">
      <c r="A23" s="111" t="s">
        <v>19</v>
      </c>
      <c r="B23" s="112">
        <v>199</v>
      </c>
      <c r="C23" s="113">
        <f t="shared" si="18"/>
        <v>187</v>
      </c>
      <c r="D23" s="112">
        <v>14</v>
      </c>
      <c r="E23" s="112">
        <v>0</v>
      </c>
      <c r="F23" s="112">
        <v>3</v>
      </c>
      <c r="G23" s="112">
        <v>1</v>
      </c>
      <c r="H23" s="112">
        <v>1</v>
      </c>
      <c r="I23" s="112">
        <v>42</v>
      </c>
      <c r="J23" s="112">
        <v>20</v>
      </c>
      <c r="K23" s="112">
        <v>6</v>
      </c>
      <c r="L23" s="112">
        <v>36</v>
      </c>
      <c r="M23" s="112">
        <v>1</v>
      </c>
      <c r="N23" s="112">
        <v>1</v>
      </c>
      <c r="O23" s="112">
        <v>1</v>
      </c>
      <c r="P23" s="112">
        <v>3</v>
      </c>
      <c r="Q23" s="112">
        <v>4</v>
      </c>
      <c r="R23" s="112">
        <v>36</v>
      </c>
      <c r="S23" s="112">
        <v>14</v>
      </c>
      <c r="T23" s="112">
        <v>1</v>
      </c>
      <c r="U23" s="112">
        <v>1</v>
      </c>
      <c r="V23" s="112">
        <v>1</v>
      </c>
      <c r="W23" s="112">
        <v>1</v>
      </c>
      <c r="Y23" s="114">
        <f t="shared" ref="Y23:AR23" si="31">(D23/187)*100</f>
        <v>7.4866310160427805</v>
      </c>
      <c r="Z23" s="114">
        <f t="shared" si="31"/>
        <v>0</v>
      </c>
      <c r="AA23" s="114">
        <f t="shared" si="31"/>
        <v>1.6042780748663104</v>
      </c>
      <c r="AB23" s="114">
        <f t="shared" si="31"/>
        <v>0.53475935828876997</v>
      </c>
      <c r="AC23" s="114">
        <f t="shared" si="31"/>
        <v>0.53475935828876997</v>
      </c>
      <c r="AD23" s="114">
        <f t="shared" si="31"/>
        <v>22.459893048128343</v>
      </c>
      <c r="AE23" s="114">
        <f t="shared" si="31"/>
        <v>10.695187165775401</v>
      </c>
      <c r="AF23" s="114">
        <f t="shared" si="31"/>
        <v>3.2085561497326207</v>
      </c>
      <c r="AG23" s="114">
        <f t="shared" si="31"/>
        <v>19.251336898395721</v>
      </c>
      <c r="AH23" s="114">
        <f t="shared" si="31"/>
        <v>0.53475935828876997</v>
      </c>
      <c r="AI23" s="114">
        <f t="shared" si="31"/>
        <v>0.53475935828876997</v>
      </c>
      <c r="AJ23" s="114">
        <f t="shared" si="31"/>
        <v>0.53475935828876997</v>
      </c>
      <c r="AK23" s="114">
        <f t="shared" si="31"/>
        <v>1.6042780748663104</v>
      </c>
      <c r="AL23" s="114">
        <f t="shared" si="31"/>
        <v>2.1390374331550799</v>
      </c>
      <c r="AM23" s="114">
        <f t="shared" si="31"/>
        <v>19.251336898395721</v>
      </c>
      <c r="AN23" s="114">
        <f t="shared" si="31"/>
        <v>7.4866310160427805</v>
      </c>
      <c r="AO23" s="114">
        <f t="shared" si="31"/>
        <v>0.53475935828876997</v>
      </c>
      <c r="AP23" s="114">
        <f t="shared" si="31"/>
        <v>0.53475935828876997</v>
      </c>
      <c r="AQ23" s="114">
        <f t="shared" si="31"/>
        <v>0.53475935828876997</v>
      </c>
      <c r="AR23" s="114">
        <f t="shared" si="31"/>
        <v>0.53475935828876997</v>
      </c>
      <c r="AS23" s="111" t="s">
        <v>19</v>
      </c>
      <c r="AT23" s="115">
        <v>14</v>
      </c>
      <c r="AU23" s="116">
        <v>7.4866310160427805</v>
      </c>
      <c r="AV23" s="117">
        <f t="shared" si="20"/>
        <v>47</v>
      </c>
      <c r="AW23" s="116">
        <f t="shared" si="21"/>
        <v>25.133689839572192</v>
      </c>
      <c r="AX23" s="117">
        <v>126</v>
      </c>
      <c r="AY23" s="116">
        <f t="shared" si="22"/>
        <v>67.379679144385008</v>
      </c>
      <c r="AZ23" s="117">
        <v>51</v>
      </c>
      <c r="BA23" s="116">
        <f t="shared" si="23"/>
        <v>27.27272727272727</v>
      </c>
    </row>
    <row r="24" spans="1:53" s="112" customFormat="1">
      <c r="A24" s="111" t="s">
        <v>20</v>
      </c>
      <c r="B24" s="112">
        <v>1200</v>
      </c>
      <c r="C24" s="113">
        <f t="shared" si="18"/>
        <v>1188</v>
      </c>
      <c r="D24" s="112">
        <v>70</v>
      </c>
      <c r="E24" s="112">
        <v>4</v>
      </c>
      <c r="F24" s="112">
        <v>67</v>
      </c>
      <c r="G24" s="112">
        <v>16</v>
      </c>
      <c r="H24" s="112">
        <v>1</v>
      </c>
      <c r="I24" s="112">
        <v>171</v>
      </c>
      <c r="J24" s="112">
        <v>232</v>
      </c>
      <c r="K24" s="112">
        <v>47</v>
      </c>
      <c r="L24" s="112">
        <v>230</v>
      </c>
      <c r="M24" s="112">
        <v>9</v>
      </c>
      <c r="N24" s="112">
        <v>13</v>
      </c>
      <c r="O24" s="112">
        <v>0</v>
      </c>
      <c r="P24" s="112">
        <v>36</v>
      </c>
      <c r="Q24" s="112">
        <v>50</v>
      </c>
      <c r="R24" s="112">
        <v>82</v>
      </c>
      <c r="S24" s="112">
        <v>76</v>
      </c>
      <c r="T24" s="112">
        <v>24</v>
      </c>
      <c r="U24" s="112">
        <v>1</v>
      </c>
      <c r="V24" s="112">
        <v>50</v>
      </c>
      <c r="W24" s="112">
        <v>9</v>
      </c>
      <c r="Y24" s="114">
        <f t="shared" ref="Y24:AR24" si="32">(D24/1188)*100</f>
        <v>5.8922558922558927</v>
      </c>
      <c r="Z24" s="114">
        <f t="shared" si="32"/>
        <v>0.33670033670033667</v>
      </c>
      <c r="AA24" s="114">
        <f t="shared" si="32"/>
        <v>5.6397306397306401</v>
      </c>
      <c r="AB24" s="114">
        <f t="shared" si="32"/>
        <v>1.3468013468013467</v>
      </c>
      <c r="AC24" s="114">
        <f t="shared" si="32"/>
        <v>8.4175084175084167E-2</v>
      </c>
      <c r="AD24" s="114">
        <f t="shared" si="32"/>
        <v>14.393939393939394</v>
      </c>
      <c r="AE24" s="114">
        <f t="shared" si="32"/>
        <v>19.528619528619529</v>
      </c>
      <c r="AF24" s="114">
        <f t="shared" si="32"/>
        <v>3.9562289562289563</v>
      </c>
      <c r="AG24" s="114">
        <f t="shared" si="32"/>
        <v>19.36026936026936</v>
      </c>
      <c r="AH24" s="114">
        <f t="shared" si="32"/>
        <v>0.75757575757575757</v>
      </c>
      <c r="AI24" s="114">
        <f t="shared" si="32"/>
        <v>1.0942760942760943</v>
      </c>
      <c r="AJ24" s="114">
        <f t="shared" si="32"/>
        <v>0</v>
      </c>
      <c r="AK24" s="114">
        <f t="shared" si="32"/>
        <v>3.0303030303030303</v>
      </c>
      <c r="AL24" s="114">
        <f t="shared" si="32"/>
        <v>4.2087542087542094</v>
      </c>
      <c r="AM24" s="114">
        <f t="shared" si="32"/>
        <v>6.9023569023569031</v>
      </c>
      <c r="AN24" s="114">
        <f t="shared" si="32"/>
        <v>6.3973063973063971</v>
      </c>
      <c r="AO24" s="114">
        <f t="shared" si="32"/>
        <v>2.0202020202020203</v>
      </c>
      <c r="AP24" s="114">
        <f t="shared" si="32"/>
        <v>8.4175084175084167E-2</v>
      </c>
      <c r="AQ24" s="114">
        <f t="shared" si="32"/>
        <v>4.2087542087542094</v>
      </c>
      <c r="AR24" s="114">
        <f t="shared" si="32"/>
        <v>0.75757575757575757</v>
      </c>
      <c r="AS24" s="111" t="s">
        <v>20</v>
      </c>
      <c r="AT24" s="115">
        <v>70</v>
      </c>
      <c r="AU24" s="116">
        <v>5.8922558922558927</v>
      </c>
      <c r="AV24" s="117">
        <f t="shared" si="20"/>
        <v>259</v>
      </c>
      <c r="AW24" s="116">
        <f t="shared" si="21"/>
        <v>21.801346801346803</v>
      </c>
      <c r="AX24" s="117">
        <v>859</v>
      </c>
      <c r="AY24" s="116">
        <f t="shared" si="22"/>
        <v>72.306397306397301</v>
      </c>
      <c r="AZ24" s="117">
        <v>182</v>
      </c>
      <c r="BA24" s="116">
        <f t="shared" si="23"/>
        <v>15.319865319865322</v>
      </c>
    </row>
    <row r="25" spans="1:53" s="112" customFormat="1">
      <c r="A25" s="111" t="s">
        <v>21</v>
      </c>
      <c r="B25" s="112">
        <v>327</v>
      </c>
      <c r="C25" s="113">
        <f t="shared" si="18"/>
        <v>259</v>
      </c>
      <c r="D25" s="112">
        <v>14</v>
      </c>
      <c r="E25" s="112">
        <v>1</v>
      </c>
      <c r="F25" s="112">
        <v>9</v>
      </c>
      <c r="G25" s="112">
        <v>1</v>
      </c>
      <c r="H25" s="112">
        <v>2</v>
      </c>
      <c r="I25" s="112">
        <v>31</v>
      </c>
      <c r="J25" s="112">
        <v>33</v>
      </c>
      <c r="K25" s="112">
        <v>12</v>
      </c>
      <c r="L25" s="112">
        <v>39</v>
      </c>
      <c r="M25" s="112">
        <v>1</v>
      </c>
      <c r="N25" s="112">
        <v>1</v>
      </c>
      <c r="O25" s="112">
        <v>1</v>
      </c>
      <c r="P25" s="112">
        <v>5</v>
      </c>
      <c r="Q25" s="112">
        <v>15</v>
      </c>
      <c r="R25" s="112">
        <v>54</v>
      </c>
      <c r="S25" s="112">
        <v>31</v>
      </c>
      <c r="T25" s="112">
        <v>2</v>
      </c>
      <c r="U25" s="112">
        <v>5</v>
      </c>
      <c r="V25" s="112">
        <v>2</v>
      </c>
      <c r="W25" s="112">
        <v>0</v>
      </c>
      <c r="Y25" s="114">
        <f t="shared" ref="Y25:AR25" si="33">(D25/259)*100</f>
        <v>5.4054054054054053</v>
      </c>
      <c r="Z25" s="114">
        <f t="shared" si="33"/>
        <v>0.38610038610038611</v>
      </c>
      <c r="AA25" s="114">
        <f t="shared" si="33"/>
        <v>3.4749034749034751</v>
      </c>
      <c r="AB25" s="114">
        <f t="shared" si="33"/>
        <v>0.38610038610038611</v>
      </c>
      <c r="AC25" s="114">
        <f t="shared" si="33"/>
        <v>0.77220077220077221</v>
      </c>
      <c r="AD25" s="114">
        <f t="shared" si="33"/>
        <v>11.969111969111969</v>
      </c>
      <c r="AE25" s="114">
        <f t="shared" si="33"/>
        <v>12.741312741312742</v>
      </c>
      <c r="AF25" s="114">
        <f t="shared" si="33"/>
        <v>4.6332046332046328</v>
      </c>
      <c r="AG25" s="114">
        <f t="shared" si="33"/>
        <v>15.057915057915059</v>
      </c>
      <c r="AH25" s="114">
        <f t="shared" si="33"/>
        <v>0.38610038610038611</v>
      </c>
      <c r="AI25" s="114">
        <f t="shared" si="33"/>
        <v>0.38610038610038611</v>
      </c>
      <c r="AJ25" s="114">
        <f t="shared" si="33"/>
        <v>0.38610038610038611</v>
      </c>
      <c r="AK25" s="114">
        <f t="shared" si="33"/>
        <v>1.9305019305019304</v>
      </c>
      <c r="AL25" s="114">
        <f t="shared" si="33"/>
        <v>5.7915057915057915</v>
      </c>
      <c r="AM25" s="114">
        <f t="shared" si="33"/>
        <v>20.849420849420849</v>
      </c>
      <c r="AN25" s="114">
        <f t="shared" si="33"/>
        <v>11.969111969111969</v>
      </c>
      <c r="AO25" s="114">
        <f t="shared" si="33"/>
        <v>0.77220077220077221</v>
      </c>
      <c r="AP25" s="114">
        <f t="shared" si="33"/>
        <v>1.9305019305019304</v>
      </c>
      <c r="AQ25" s="114">
        <f t="shared" si="33"/>
        <v>0.77220077220077221</v>
      </c>
      <c r="AR25" s="114">
        <f t="shared" si="33"/>
        <v>0</v>
      </c>
      <c r="AS25" s="111" t="s">
        <v>21</v>
      </c>
      <c r="AT25" s="115">
        <v>14</v>
      </c>
      <c r="AU25" s="116">
        <v>5.4054054054054053</v>
      </c>
      <c r="AV25" s="117">
        <f t="shared" si="20"/>
        <v>44</v>
      </c>
      <c r="AW25" s="116">
        <f t="shared" si="21"/>
        <v>16.98841698841699</v>
      </c>
      <c r="AX25" s="117">
        <v>201</v>
      </c>
      <c r="AY25" s="116">
        <f t="shared" si="22"/>
        <v>77.606177606177624</v>
      </c>
      <c r="AZ25" s="117">
        <v>87</v>
      </c>
      <c r="BA25" s="116">
        <f t="shared" si="23"/>
        <v>33.590733590733585</v>
      </c>
    </row>
    <row r="26" spans="1:53" s="112" customFormat="1">
      <c r="A26" s="111" t="s">
        <v>22</v>
      </c>
      <c r="B26" s="112">
        <v>46874</v>
      </c>
      <c r="C26" s="113">
        <f t="shared" si="18"/>
        <v>46348</v>
      </c>
      <c r="D26" s="112">
        <v>1290</v>
      </c>
      <c r="E26" s="112">
        <v>37</v>
      </c>
      <c r="F26" s="112">
        <v>2144</v>
      </c>
      <c r="G26" s="112">
        <v>252</v>
      </c>
      <c r="H26" s="112">
        <v>249</v>
      </c>
      <c r="I26" s="112">
        <v>3540</v>
      </c>
      <c r="J26" s="112">
        <v>7860</v>
      </c>
      <c r="K26" s="112">
        <v>2172</v>
      </c>
      <c r="L26" s="112">
        <v>12949</v>
      </c>
      <c r="M26" s="112">
        <v>426</v>
      </c>
      <c r="N26" s="112">
        <v>632</v>
      </c>
      <c r="O26" s="112">
        <v>51</v>
      </c>
      <c r="P26" s="112">
        <v>1785</v>
      </c>
      <c r="Q26" s="112">
        <v>1748</v>
      </c>
      <c r="R26" s="112">
        <v>4858</v>
      </c>
      <c r="S26" s="112">
        <v>2799</v>
      </c>
      <c r="T26" s="112">
        <v>1955</v>
      </c>
      <c r="U26" s="112">
        <v>611</v>
      </c>
      <c r="V26" s="112">
        <v>700</v>
      </c>
      <c r="W26" s="112">
        <v>290</v>
      </c>
      <c r="Y26" s="114">
        <f t="shared" ref="Y26:AR26" si="34">(D26/46349)*100</f>
        <v>2.7832315691816438</v>
      </c>
      <c r="Z26" s="114">
        <f t="shared" si="34"/>
        <v>7.9829122526915361E-2</v>
      </c>
      <c r="AA26" s="114">
        <f t="shared" si="34"/>
        <v>4.6257740188569336</v>
      </c>
      <c r="AB26" s="114">
        <f t="shared" si="34"/>
        <v>0.54370105072385588</v>
      </c>
      <c r="AC26" s="114">
        <f t="shared" si="34"/>
        <v>0.53722841916761954</v>
      </c>
      <c r="AD26" s="114">
        <f t="shared" si="34"/>
        <v>7.6377052363589284</v>
      </c>
      <c r="AE26" s="114">
        <f t="shared" si="34"/>
        <v>16.958294677339318</v>
      </c>
      <c r="AF26" s="114">
        <f t="shared" si="34"/>
        <v>4.6861852467151399</v>
      </c>
      <c r="AG26" s="114">
        <f t="shared" si="34"/>
        <v>27.938035340568295</v>
      </c>
      <c r="AH26" s="114">
        <f t="shared" si="34"/>
        <v>0.91911368098556612</v>
      </c>
      <c r="AI26" s="114">
        <f t="shared" si="34"/>
        <v>1.3635677145137974</v>
      </c>
      <c r="AJ26" s="114">
        <f t="shared" si="34"/>
        <v>0.11003473645601848</v>
      </c>
      <c r="AK26" s="114">
        <f t="shared" si="34"/>
        <v>3.8512157759606467</v>
      </c>
      <c r="AL26" s="114">
        <f t="shared" si="34"/>
        <v>3.7713866534337308</v>
      </c>
      <c r="AM26" s="114">
        <f t="shared" si="34"/>
        <v>10.481348033398778</v>
      </c>
      <c r="AN26" s="114">
        <f t="shared" si="34"/>
        <v>6.0389652419685431</v>
      </c>
      <c r="AO26" s="114">
        <f t="shared" si="34"/>
        <v>4.2179982308140413</v>
      </c>
      <c r="AP26" s="114">
        <f t="shared" si="34"/>
        <v>1.3182592936201429</v>
      </c>
      <c r="AQ26" s="114">
        <f t="shared" si="34"/>
        <v>1.5102806964551554</v>
      </c>
      <c r="AR26" s="114">
        <f t="shared" si="34"/>
        <v>0.62568771710285009</v>
      </c>
      <c r="AS26" s="111" t="s">
        <v>22</v>
      </c>
      <c r="AT26" s="115">
        <v>1290</v>
      </c>
      <c r="AU26" s="116">
        <v>2.7832315691816438</v>
      </c>
      <c r="AV26" s="117">
        <f t="shared" si="20"/>
        <v>6222</v>
      </c>
      <c r="AW26" s="116">
        <f t="shared" si="21"/>
        <v>13.424237847634252</v>
      </c>
      <c r="AX26" s="117">
        <v>38837</v>
      </c>
      <c r="AY26" s="116">
        <f t="shared" si="22"/>
        <v>83.790373039332025</v>
      </c>
      <c r="AZ26" s="117">
        <v>9612</v>
      </c>
      <c r="BA26" s="116">
        <f t="shared" si="23"/>
        <v>20.738311506181361</v>
      </c>
    </row>
    <row r="27" spans="1:53" s="112" customFormat="1">
      <c r="A27" s="111" t="s">
        <v>23</v>
      </c>
      <c r="B27" s="112">
        <v>941</v>
      </c>
      <c r="C27" s="113">
        <f t="shared" si="18"/>
        <v>905</v>
      </c>
      <c r="D27" s="112">
        <v>44</v>
      </c>
      <c r="E27" s="112">
        <v>1</v>
      </c>
      <c r="F27" s="112">
        <v>29</v>
      </c>
      <c r="G27" s="112">
        <v>19</v>
      </c>
      <c r="H27" s="112">
        <v>12</v>
      </c>
      <c r="I27" s="112">
        <v>128</v>
      </c>
      <c r="J27" s="112">
        <v>149</v>
      </c>
      <c r="K27" s="112">
        <v>49</v>
      </c>
      <c r="L27" s="112">
        <v>216</v>
      </c>
      <c r="M27" s="112">
        <v>7</v>
      </c>
      <c r="N27" s="112">
        <v>10</v>
      </c>
      <c r="O27" s="112">
        <v>1</v>
      </c>
      <c r="P27" s="112">
        <v>26</v>
      </c>
      <c r="Q27" s="112">
        <v>22</v>
      </c>
      <c r="R27" s="112">
        <v>113</v>
      </c>
      <c r="S27" s="112">
        <v>53</v>
      </c>
      <c r="T27" s="112">
        <v>23</v>
      </c>
      <c r="U27" s="112">
        <v>1</v>
      </c>
      <c r="V27" s="112">
        <v>1</v>
      </c>
      <c r="W27" s="112">
        <v>1</v>
      </c>
      <c r="Y27" s="114">
        <f t="shared" ref="Y27:AR27" si="35">(D27/905)*100</f>
        <v>4.8618784530386741</v>
      </c>
      <c r="Z27" s="114">
        <f t="shared" si="35"/>
        <v>0.11049723756906078</v>
      </c>
      <c r="AA27" s="114">
        <f t="shared" si="35"/>
        <v>3.2044198895027622</v>
      </c>
      <c r="AB27" s="114">
        <f t="shared" si="35"/>
        <v>2.0994475138121547</v>
      </c>
      <c r="AC27" s="114">
        <f t="shared" si="35"/>
        <v>1.3259668508287292</v>
      </c>
      <c r="AD27" s="114">
        <f t="shared" si="35"/>
        <v>14.14364640883978</v>
      </c>
      <c r="AE27" s="114">
        <f t="shared" si="35"/>
        <v>16.464088397790057</v>
      </c>
      <c r="AF27" s="114">
        <f t="shared" si="35"/>
        <v>5.4143646408839778</v>
      </c>
      <c r="AG27" s="114">
        <f t="shared" si="35"/>
        <v>23.867403314917127</v>
      </c>
      <c r="AH27" s="114">
        <f t="shared" si="35"/>
        <v>0.77348066298342544</v>
      </c>
      <c r="AI27" s="114">
        <f t="shared" si="35"/>
        <v>1.1049723756906076</v>
      </c>
      <c r="AJ27" s="114">
        <f t="shared" si="35"/>
        <v>0.11049723756906078</v>
      </c>
      <c r="AK27" s="114">
        <f t="shared" si="35"/>
        <v>2.8729281767955803</v>
      </c>
      <c r="AL27" s="114">
        <f t="shared" si="35"/>
        <v>2.430939226519337</v>
      </c>
      <c r="AM27" s="114">
        <f t="shared" si="35"/>
        <v>12.486187845303867</v>
      </c>
      <c r="AN27" s="114">
        <f t="shared" si="35"/>
        <v>5.8563535911602207</v>
      </c>
      <c r="AO27" s="114">
        <f t="shared" si="35"/>
        <v>2.541436464088398</v>
      </c>
      <c r="AP27" s="114">
        <f t="shared" si="35"/>
        <v>0.11049723756906078</v>
      </c>
      <c r="AQ27" s="114">
        <f t="shared" si="35"/>
        <v>0.11049723756906078</v>
      </c>
      <c r="AR27" s="114">
        <f t="shared" si="35"/>
        <v>0.11049723756906078</v>
      </c>
      <c r="AS27" s="111" t="s">
        <v>23</v>
      </c>
      <c r="AT27" s="115">
        <v>44</v>
      </c>
      <c r="AU27" s="116">
        <v>4.8618784530386741</v>
      </c>
      <c r="AV27" s="117">
        <f t="shared" si="20"/>
        <v>189</v>
      </c>
      <c r="AW27" s="116">
        <f t="shared" si="21"/>
        <v>20.883977900552487</v>
      </c>
      <c r="AX27" s="117">
        <v>672</v>
      </c>
      <c r="AY27" s="116">
        <f t="shared" si="22"/>
        <v>74.254143646408835</v>
      </c>
      <c r="AZ27" s="117">
        <v>189</v>
      </c>
      <c r="BA27" s="116">
        <f t="shared" si="23"/>
        <v>20.883977900552487</v>
      </c>
    </row>
    <row r="28" spans="1:53" s="112" customFormat="1">
      <c r="A28" s="111" t="s">
        <v>24</v>
      </c>
      <c r="B28" s="112">
        <v>273</v>
      </c>
      <c r="C28" s="113">
        <f t="shared" si="18"/>
        <v>257</v>
      </c>
      <c r="D28" s="112">
        <v>23</v>
      </c>
      <c r="E28" s="112">
        <v>0</v>
      </c>
      <c r="F28" s="112">
        <v>2</v>
      </c>
      <c r="G28" s="112">
        <v>2</v>
      </c>
      <c r="H28" s="112">
        <v>2</v>
      </c>
      <c r="I28" s="112">
        <v>35</v>
      </c>
      <c r="J28" s="112">
        <v>26</v>
      </c>
      <c r="K28" s="112">
        <v>8</v>
      </c>
      <c r="L28" s="112">
        <v>78</v>
      </c>
      <c r="M28" s="112">
        <v>1</v>
      </c>
      <c r="N28" s="112">
        <v>1</v>
      </c>
      <c r="O28" s="112">
        <v>0</v>
      </c>
      <c r="P28" s="112">
        <v>1</v>
      </c>
      <c r="Q28" s="112">
        <v>3</v>
      </c>
      <c r="R28" s="112">
        <v>48</v>
      </c>
      <c r="S28" s="112">
        <v>21</v>
      </c>
      <c r="T28" s="112">
        <v>2</v>
      </c>
      <c r="U28" s="112">
        <v>2</v>
      </c>
      <c r="V28" s="112">
        <v>2</v>
      </c>
      <c r="W28" s="112">
        <v>0</v>
      </c>
      <c r="Y28" s="114">
        <f t="shared" ref="Y28:AR28" si="36">(D28/257)*100</f>
        <v>8.9494163424124515</v>
      </c>
      <c r="Z28" s="114">
        <f t="shared" si="36"/>
        <v>0</v>
      </c>
      <c r="AA28" s="114">
        <f t="shared" si="36"/>
        <v>0.77821011673151752</v>
      </c>
      <c r="AB28" s="114">
        <f t="shared" si="36"/>
        <v>0.77821011673151752</v>
      </c>
      <c r="AC28" s="114">
        <f t="shared" si="36"/>
        <v>0.77821011673151752</v>
      </c>
      <c r="AD28" s="114">
        <f t="shared" si="36"/>
        <v>13.618677042801556</v>
      </c>
      <c r="AE28" s="114">
        <f t="shared" si="36"/>
        <v>10.116731517509727</v>
      </c>
      <c r="AF28" s="114">
        <f t="shared" si="36"/>
        <v>3.1128404669260701</v>
      </c>
      <c r="AG28" s="114">
        <f t="shared" si="36"/>
        <v>30.350194552529182</v>
      </c>
      <c r="AH28" s="114">
        <f t="shared" si="36"/>
        <v>0.38910505836575876</v>
      </c>
      <c r="AI28" s="114">
        <f t="shared" si="36"/>
        <v>0.38910505836575876</v>
      </c>
      <c r="AJ28" s="114">
        <f t="shared" si="36"/>
        <v>0</v>
      </c>
      <c r="AK28" s="114">
        <f t="shared" si="36"/>
        <v>0.38910505836575876</v>
      </c>
      <c r="AL28" s="114">
        <f t="shared" si="36"/>
        <v>1.1673151750972763</v>
      </c>
      <c r="AM28" s="114">
        <f t="shared" si="36"/>
        <v>18.677042801556421</v>
      </c>
      <c r="AN28" s="114">
        <f t="shared" si="36"/>
        <v>8.1712062256809332</v>
      </c>
      <c r="AO28" s="114">
        <f t="shared" si="36"/>
        <v>0.77821011673151752</v>
      </c>
      <c r="AP28" s="114">
        <f t="shared" si="36"/>
        <v>0.77821011673151752</v>
      </c>
      <c r="AQ28" s="114">
        <f t="shared" si="36"/>
        <v>0.77821011673151752</v>
      </c>
      <c r="AR28" s="114">
        <f t="shared" si="36"/>
        <v>0</v>
      </c>
      <c r="AS28" s="111" t="s">
        <v>24</v>
      </c>
      <c r="AT28" s="115">
        <v>23</v>
      </c>
      <c r="AU28" s="116">
        <v>8.9494163424124515</v>
      </c>
      <c r="AV28" s="117">
        <f t="shared" si="20"/>
        <v>41</v>
      </c>
      <c r="AW28" s="116">
        <f t="shared" si="21"/>
        <v>15.953307392996109</v>
      </c>
      <c r="AX28" s="117">
        <v>193</v>
      </c>
      <c r="AY28" s="116">
        <f t="shared" si="22"/>
        <v>75.097276264591429</v>
      </c>
      <c r="AZ28" s="117">
        <v>71</v>
      </c>
      <c r="BA28" s="116">
        <f t="shared" si="23"/>
        <v>27.626459143968873</v>
      </c>
    </row>
    <row r="29" spans="1:53" s="112" customFormat="1">
      <c r="A29" s="111" t="s">
        <v>25</v>
      </c>
      <c r="B29" s="112">
        <v>191</v>
      </c>
      <c r="C29" s="113">
        <f t="shared" si="18"/>
        <v>187</v>
      </c>
      <c r="D29" s="112">
        <v>11</v>
      </c>
      <c r="E29" s="112">
        <v>0</v>
      </c>
      <c r="F29" s="112">
        <v>6</v>
      </c>
      <c r="G29" s="112">
        <v>0</v>
      </c>
      <c r="H29" s="112">
        <v>1</v>
      </c>
      <c r="I29" s="112">
        <v>31</v>
      </c>
      <c r="J29" s="112">
        <v>27</v>
      </c>
      <c r="K29" s="112">
        <v>17</v>
      </c>
      <c r="L29" s="112">
        <v>37</v>
      </c>
      <c r="M29" s="112">
        <v>1</v>
      </c>
      <c r="N29" s="112">
        <v>0</v>
      </c>
      <c r="O29" s="112">
        <v>0</v>
      </c>
      <c r="P29" s="112">
        <v>1</v>
      </c>
      <c r="Q29" s="112">
        <v>11</v>
      </c>
      <c r="R29" s="112">
        <v>25</v>
      </c>
      <c r="S29" s="112">
        <v>17</v>
      </c>
      <c r="T29" s="112">
        <v>1</v>
      </c>
      <c r="U29" s="112">
        <v>0</v>
      </c>
      <c r="V29" s="112">
        <v>1</v>
      </c>
      <c r="W29" s="112">
        <v>0</v>
      </c>
      <c r="Y29" s="114">
        <f t="shared" ref="Y29:AR29" si="37">(D29/187)*100</f>
        <v>5.8823529411764701</v>
      </c>
      <c r="Z29" s="114">
        <f t="shared" si="37"/>
        <v>0</v>
      </c>
      <c r="AA29" s="114">
        <f t="shared" si="37"/>
        <v>3.2085561497326207</v>
      </c>
      <c r="AB29" s="114">
        <f t="shared" si="37"/>
        <v>0</v>
      </c>
      <c r="AC29" s="114">
        <f t="shared" si="37"/>
        <v>0.53475935828876997</v>
      </c>
      <c r="AD29" s="114">
        <f t="shared" si="37"/>
        <v>16.577540106951872</v>
      </c>
      <c r="AE29" s="114">
        <f t="shared" si="37"/>
        <v>14.438502673796791</v>
      </c>
      <c r="AF29" s="114">
        <f t="shared" si="37"/>
        <v>9.0909090909090917</v>
      </c>
      <c r="AG29" s="114">
        <f t="shared" si="37"/>
        <v>19.786096256684495</v>
      </c>
      <c r="AH29" s="114">
        <f t="shared" si="37"/>
        <v>0.53475935828876997</v>
      </c>
      <c r="AI29" s="114">
        <f t="shared" si="37"/>
        <v>0</v>
      </c>
      <c r="AJ29" s="114">
        <f t="shared" si="37"/>
        <v>0</v>
      </c>
      <c r="AK29" s="114">
        <f t="shared" si="37"/>
        <v>0.53475935828876997</v>
      </c>
      <c r="AL29" s="114">
        <f t="shared" si="37"/>
        <v>5.8823529411764701</v>
      </c>
      <c r="AM29" s="114">
        <f t="shared" si="37"/>
        <v>13.368983957219251</v>
      </c>
      <c r="AN29" s="114">
        <f t="shared" si="37"/>
        <v>9.0909090909090917</v>
      </c>
      <c r="AO29" s="114">
        <f t="shared" si="37"/>
        <v>0.53475935828876997</v>
      </c>
      <c r="AP29" s="114">
        <f t="shared" si="37"/>
        <v>0</v>
      </c>
      <c r="AQ29" s="114">
        <f t="shared" si="37"/>
        <v>0.53475935828876997</v>
      </c>
      <c r="AR29" s="114">
        <f t="shared" si="37"/>
        <v>0</v>
      </c>
      <c r="AS29" s="111" t="s">
        <v>25</v>
      </c>
      <c r="AT29" s="115">
        <v>11</v>
      </c>
      <c r="AU29" s="116">
        <v>5.8823529411764701</v>
      </c>
      <c r="AV29" s="117">
        <f t="shared" si="20"/>
        <v>38</v>
      </c>
      <c r="AW29" s="116">
        <f t="shared" si="21"/>
        <v>20.320855614973262</v>
      </c>
      <c r="AX29" s="117">
        <v>138</v>
      </c>
      <c r="AY29" s="116">
        <f t="shared" si="22"/>
        <v>73.796791443850253</v>
      </c>
      <c r="AZ29" s="117">
        <v>43</v>
      </c>
      <c r="BA29" s="116">
        <f t="shared" si="23"/>
        <v>22.994652406417114</v>
      </c>
    </row>
    <row r="30" spans="1:53" s="112" customFormat="1">
      <c r="A30" s="111" t="s">
        <v>26</v>
      </c>
      <c r="B30" s="112">
        <v>737</v>
      </c>
      <c r="C30" s="113">
        <f t="shared" si="18"/>
        <v>624</v>
      </c>
      <c r="D30" s="112">
        <v>120</v>
      </c>
      <c r="E30" s="112">
        <v>0</v>
      </c>
      <c r="F30" s="112">
        <v>14</v>
      </c>
      <c r="G30" s="112">
        <v>12</v>
      </c>
      <c r="H30" s="112">
        <v>3</v>
      </c>
      <c r="I30" s="112">
        <v>112</v>
      </c>
      <c r="J30" s="112">
        <v>85</v>
      </c>
      <c r="K30" s="112">
        <v>26</v>
      </c>
      <c r="L30" s="112">
        <v>90</v>
      </c>
      <c r="M30" s="112">
        <v>3</v>
      </c>
      <c r="N30" s="112">
        <v>6</v>
      </c>
      <c r="O30" s="112">
        <v>1</v>
      </c>
      <c r="P30" s="112">
        <v>12</v>
      </c>
      <c r="Q30" s="112">
        <v>9</v>
      </c>
      <c r="R30" s="112">
        <v>29</v>
      </c>
      <c r="S30" s="112">
        <v>67</v>
      </c>
      <c r="T30" s="112">
        <v>10</v>
      </c>
      <c r="U30" s="112">
        <v>7</v>
      </c>
      <c r="V30" s="112">
        <v>15</v>
      </c>
      <c r="W30" s="112">
        <v>3</v>
      </c>
      <c r="Y30" s="114">
        <f t="shared" ref="Y30:AR30" si="38">(D30/624)*100</f>
        <v>19.230769230769234</v>
      </c>
      <c r="Z30" s="114">
        <f t="shared" si="38"/>
        <v>0</v>
      </c>
      <c r="AA30" s="114">
        <f t="shared" si="38"/>
        <v>2.2435897435897436</v>
      </c>
      <c r="AB30" s="114">
        <f t="shared" si="38"/>
        <v>1.9230769230769231</v>
      </c>
      <c r="AC30" s="114">
        <f t="shared" si="38"/>
        <v>0.48076923076923078</v>
      </c>
      <c r="AD30" s="114">
        <f t="shared" si="38"/>
        <v>17.948717948717949</v>
      </c>
      <c r="AE30" s="114">
        <f t="shared" si="38"/>
        <v>13.62179487179487</v>
      </c>
      <c r="AF30" s="114">
        <f t="shared" si="38"/>
        <v>4.1666666666666661</v>
      </c>
      <c r="AG30" s="114">
        <f t="shared" si="38"/>
        <v>14.423076923076922</v>
      </c>
      <c r="AH30" s="114">
        <f t="shared" si="38"/>
        <v>0.48076923076923078</v>
      </c>
      <c r="AI30" s="114">
        <f t="shared" si="38"/>
        <v>0.96153846153846156</v>
      </c>
      <c r="AJ30" s="114">
        <f t="shared" si="38"/>
        <v>0.16025641025641024</v>
      </c>
      <c r="AK30" s="114">
        <f t="shared" si="38"/>
        <v>1.9230769230769231</v>
      </c>
      <c r="AL30" s="114">
        <f t="shared" si="38"/>
        <v>1.4423076923076923</v>
      </c>
      <c r="AM30" s="114">
        <f t="shared" si="38"/>
        <v>4.6474358974358978</v>
      </c>
      <c r="AN30" s="114">
        <f t="shared" si="38"/>
        <v>10.737179487179487</v>
      </c>
      <c r="AO30" s="114">
        <f t="shared" si="38"/>
        <v>1.6025641025641024</v>
      </c>
      <c r="AP30" s="114">
        <f t="shared" si="38"/>
        <v>1.1217948717948718</v>
      </c>
      <c r="AQ30" s="114">
        <f t="shared" si="38"/>
        <v>2.4038461538461542</v>
      </c>
      <c r="AR30" s="114">
        <f t="shared" si="38"/>
        <v>0.48076923076923078</v>
      </c>
      <c r="AS30" s="111" t="s">
        <v>26</v>
      </c>
      <c r="AT30" s="115">
        <v>120</v>
      </c>
      <c r="AU30" s="116">
        <v>19.230769230769234</v>
      </c>
      <c r="AV30" s="117">
        <f t="shared" si="20"/>
        <v>141</v>
      </c>
      <c r="AW30" s="116">
        <f t="shared" si="21"/>
        <v>22.596153846153847</v>
      </c>
      <c r="AX30" s="117">
        <v>363</v>
      </c>
      <c r="AY30" s="116">
        <f t="shared" si="22"/>
        <v>58.17307692307692</v>
      </c>
      <c r="AZ30" s="117">
        <v>106</v>
      </c>
      <c r="BA30" s="116">
        <f t="shared" si="23"/>
        <v>16.987179487179489</v>
      </c>
    </row>
    <row r="31" spans="1:53" s="112" customFormat="1">
      <c r="A31" s="111" t="s">
        <v>27</v>
      </c>
      <c r="B31" s="112">
        <v>99</v>
      </c>
      <c r="C31" s="113">
        <f t="shared" si="18"/>
        <v>95</v>
      </c>
      <c r="D31" s="112">
        <v>28</v>
      </c>
      <c r="E31" s="112">
        <v>0</v>
      </c>
      <c r="F31" s="112">
        <v>8</v>
      </c>
      <c r="G31" s="112">
        <v>1</v>
      </c>
      <c r="H31" s="112">
        <v>0</v>
      </c>
      <c r="I31" s="112">
        <v>6</v>
      </c>
      <c r="J31" s="112">
        <v>11</v>
      </c>
      <c r="K31" s="112">
        <v>1</v>
      </c>
      <c r="L31" s="112">
        <v>19</v>
      </c>
      <c r="M31" s="112">
        <v>0</v>
      </c>
      <c r="N31" s="112">
        <v>0</v>
      </c>
      <c r="O31" s="112">
        <v>0</v>
      </c>
      <c r="P31" s="112">
        <v>1</v>
      </c>
      <c r="Q31" s="112">
        <v>1</v>
      </c>
      <c r="R31" s="112">
        <v>6</v>
      </c>
      <c r="S31" s="112">
        <v>10</v>
      </c>
      <c r="T31" s="112">
        <v>1</v>
      </c>
      <c r="U31" s="112">
        <v>1</v>
      </c>
      <c r="V31" s="112">
        <v>1</v>
      </c>
      <c r="W31" s="112">
        <v>0</v>
      </c>
      <c r="Y31" s="114">
        <f t="shared" ref="Y31:AR31" si="39">(D31/95)*100</f>
        <v>29.473684210526311</v>
      </c>
      <c r="Z31" s="114">
        <f t="shared" si="39"/>
        <v>0</v>
      </c>
      <c r="AA31" s="114">
        <f t="shared" si="39"/>
        <v>8.4210526315789469</v>
      </c>
      <c r="AB31" s="114">
        <f t="shared" si="39"/>
        <v>1.0526315789473684</v>
      </c>
      <c r="AC31" s="114">
        <f t="shared" si="39"/>
        <v>0</v>
      </c>
      <c r="AD31" s="114">
        <f t="shared" si="39"/>
        <v>6.3157894736842106</v>
      </c>
      <c r="AE31" s="114">
        <f t="shared" si="39"/>
        <v>11.578947368421053</v>
      </c>
      <c r="AF31" s="114">
        <f t="shared" si="39"/>
        <v>1.0526315789473684</v>
      </c>
      <c r="AG31" s="114">
        <f t="shared" si="39"/>
        <v>20</v>
      </c>
      <c r="AH31" s="114">
        <f t="shared" si="39"/>
        <v>0</v>
      </c>
      <c r="AI31" s="114">
        <f t="shared" si="39"/>
        <v>0</v>
      </c>
      <c r="AJ31" s="114">
        <f t="shared" si="39"/>
        <v>0</v>
      </c>
      <c r="AK31" s="114">
        <f t="shared" si="39"/>
        <v>1.0526315789473684</v>
      </c>
      <c r="AL31" s="114">
        <f t="shared" si="39"/>
        <v>1.0526315789473684</v>
      </c>
      <c r="AM31" s="114">
        <f t="shared" si="39"/>
        <v>6.3157894736842106</v>
      </c>
      <c r="AN31" s="114">
        <f t="shared" si="39"/>
        <v>10.526315789473683</v>
      </c>
      <c r="AO31" s="114">
        <f t="shared" si="39"/>
        <v>1.0526315789473684</v>
      </c>
      <c r="AP31" s="114">
        <f t="shared" si="39"/>
        <v>1.0526315789473684</v>
      </c>
      <c r="AQ31" s="114">
        <f t="shared" si="39"/>
        <v>1.0526315789473684</v>
      </c>
      <c r="AR31" s="114">
        <f t="shared" si="39"/>
        <v>0</v>
      </c>
      <c r="AS31" s="111" t="s">
        <v>27</v>
      </c>
      <c r="AT31" s="115">
        <v>28</v>
      </c>
      <c r="AU31" s="116">
        <v>29.473684210526311</v>
      </c>
      <c r="AV31" s="117">
        <f t="shared" si="20"/>
        <v>15</v>
      </c>
      <c r="AW31" s="116">
        <f t="shared" si="21"/>
        <v>15.789473684210526</v>
      </c>
      <c r="AX31" s="117">
        <v>52</v>
      </c>
      <c r="AY31" s="116">
        <f t="shared" si="22"/>
        <v>54.736842105263172</v>
      </c>
      <c r="AZ31" s="117">
        <v>17</v>
      </c>
      <c r="BA31" s="116">
        <f t="shared" si="23"/>
        <v>17.894736842105264</v>
      </c>
    </row>
    <row r="32" spans="1:53" s="112" customFormat="1">
      <c r="A32" s="111" t="s">
        <v>28</v>
      </c>
      <c r="B32" s="112">
        <v>3024</v>
      </c>
      <c r="C32" s="113">
        <f t="shared" si="18"/>
        <v>2892</v>
      </c>
      <c r="D32" s="112">
        <v>479</v>
      </c>
      <c r="E32" s="112">
        <v>2</v>
      </c>
      <c r="F32" s="112">
        <v>99</v>
      </c>
      <c r="G32" s="112">
        <v>42</v>
      </c>
      <c r="H32" s="112">
        <v>2</v>
      </c>
      <c r="I32" s="112">
        <v>630</v>
      </c>
      <c r="J32" s="112">
        <v>432</v>
      </c>
      <c r="K32" s="112">
        <v>196</v>
      </c>
      <c r="L32" s="112">
        <v>310</v>
      </c>
      <c r="M32" s="112">
        <v>13</v>
      </c>
      <c r="N32" s="112">
        <v>41</v>
      </c>
      <c r="O32" s="112">
        <v>6</v>
      </c>
      <c r="P32" s="112">
        <v>91</v>
      </c>
      <c r="Q32" s="112">
        <v>37</v>
      </c>
      <c r="R32" s="112">
        <v>181</v>
      </c>
      <c r="S32" s="112">
        <v>168</v>
      </c>
      <c r="T32" s="112">
        <v>71</v>
      </c>
      <c r="U32" s="112">
        <v>27</v>
      </c>
      <c r="V32" s="112">
        <v>42</v>
      </c>
      <c r="W32" s="112">
        <v>23</v>
      </c>
      <c r="Y32" s="114">
        <f t="shared" ref="Y32:AR32" si="40">(D32/2892)*100</f>
        <v>16.56293222683264</v>
      </c>
      <c r="Z32" s="114">
        <f t="shared" si="40"/>
        <v>6.9156293222683268E-2</v>
      </c>
      <c r="AA32" s="114">
        <f t="shared" si="40"/>
        <v>3.4232365145228218</v>
      </c>
      <c r="AB32" s="114">
        <f t="shared" si="40"/>
        <v>1.4522821576763485</v>
      </c>
      <c r="AC32" s="114">
        <f t="shared" si="40"/>
        <v>6.9156293222683268E-2</v>
      </c>
      <c r="AD32" s="114">
        <f t="shared" si="40"/>
        <v>21.784232365145229</v>
      </c>
      <c r="AE32" s="114">
        <f t="shared" si="40"/>
        <v>14.937759336099585</v>
      </c>
      <c r="AF32" s="114">
        <f t="shared" si="40"/>
        <v>6.7773167358229598</v>
      </c>
      <c r="AG32" s="114">
        <f t="shared" si="40"/>
        <v>10.719225449515905</v>
      </c>
      <c r="AH32" s="114">
        <f t="shared" si="40"/>
        <v>0.44951590594744117</v>
      </c>
      <c r="AI32" s="114">
        <f t="shared" si="40"/>
        <v>1.417704011065007</v>
      </c>
      <c r="AJ32" s="114">
        <f t="shared" si="40"/>
        <v>0.2074688796680498</v>
      </c>
      <c r="AK32" s="114">
        <f t="shared" si="40"/>
        <v>3.1466113416320884</v>
      </c>
      <c r="AL32" s="114">
        <f t="shared" si="40"/>
        <v>1.2793914246196403</v>
      </c>
      <c r="AM32" s="114">
        <f t="shared" si="40"/>
        <v>6.2586445366528354</v>
      </c>
      <c r="AN32" s="114">
        <f t="shared" si="40"/>
        <v>5.809128630705394</v>
      </c>
      <c r="AO32" s="114">
        <f t="shared" si="40"/>
        <v>2.455048409405256</v>
      </c>
      <c r="AP32" s="114">
        <f t="shared" si="40"/>
        <v>0.93360995850622408</v>
      </c>
      <c r="AQ32" s="114">
        <f t="shared" si="40"/>
        <v>1.4522821576763485</v>
      </c>
      <c r="AR32" s="114">
        <f t="shared" si="40"/>
        <v>0.79529737206085749</v>
      </c>
      <c r="AS32" s="111" t="s">
        <v>28</v>
      </c>
      <c r="AT32" s="115">
        <v>479</v>
      </c>
      <c r="AU32" s="116">
        <v>16.56293222683264</v>
      </c>
      <c r="AV32" s="117">
        <f t="shared" si="20"/>
        <v>775</v>
      </c>
      <c r="AW32" s="116">
        <f t="shared" si="21"/>
        <v>26.798063623789766</v>
      </c>
      <c r="AX32" s="117">
        <v>1638</v>
      </c>
      <c r="AY32" s="116">
        <f t="shared" si="22"/>
        <v>56.639004149377598</v>
      </c>
      <c r="AZ32" s="117">
        <v>420</v>
      </c>
      <c r="BA32" s="116">
        <f t="shared" si="23"/>
        <v>14.522821576763485</v>
      </c>
    </row>
    <row r="33" spans="1:53" s="112" customFormat="1">
      <c r="A33" s="111" t="s">
        <v>29</v>
      </c>
      <c r="B33" s="112">
        <v>396</v>
      </c>
      <c r="C33" s="113">
        <f t="shared" si="18"/>
        <v>395</v>
      </c>
      <c r="D33" s="112">
        <v>46</v>
      </c>
      <c r="E33" s="112">
        <v>0</v>
      </c>
      <c r="F33" s="112">
        <v>8</v>
      </c>
      <c r="G33" s="112">
        <v>0</v>
      </c>
      <c r="H33" s="112">
        <v>1</v>
      </c>
      <c r="I33" s="112">
        <v>72</v>
      </c>
      <c r="J33" s="112">
        <v>76</v>
      </c>
      <c r="K33" s="112">
        <v>27</v>
      </c>
      <c r="L33" s="112">
        <v>67</v>
      </c>
      <c r="M33" s="112">
        <v>1</v>
      </c>
      <c r="N33" s="112">
        <v>0</v>
      </c>
      <c r="O33" s="112">
        <v>1</v>
      </c>
      <c r="P33" s="112">
        <v>7</v>
      </c>
      <c r="Q33" s="112">
        <v>12</v>
      </c>
      <c r="R33" s="112">
        <v>26</v>
      </c>
      <c r="S33" s="112">
        <v>8</v>
      </c>
      <c r="T33" s="112">
        <v>6</v>
      </c>
      <c r="U33" s="112">
        <v>3</v>
      </c>
      <c r="V33" s="112">
        <v>8</v>
      </c>
      <c r="W33" s="112">
        <v>26</v>
      </c>
      <c r="Y33" s="114">
        <f t="shared" ref="Y33:AR33" si="41">(D33/395)*100</f>
        <v>11.645569620253164</v>
      </c>
      <c r="Z33" s="114">
        <f t="shared" si="41"/>
        <v>0</v>
      </c>
      <c r="AA33" s="114">
        <f t="shared" si="41"/>
        <v>2.0253164556962027</v>
      </c>
      <c r="AB33" s="114">
        <f t="shared" si="41"/>
        <v>0</v>
      </c>
      <c r="AC33" s="114">
        <f t="shared" si="41"/>
        <v>0.25316455696202533</v>
      </c>
      <c r="AD33" s="114">
        <f t="shared" si="41"/>
        <v>18.227848101265824</v>
      </c>
      <c r="AE33" s="114">
        <f t="shared" si="41"/>
        <v>19.240506329113924</v>
      </c>
      <c r="AF33" s="114">
        <f t="shared" si="41"/>
        <v>6.8354430379746836</v>
      </c>
      <c r="AG33" s="114">
        <f t="shared" si="41"/>
        <v>16.962025316455694</v>
      </c>
      <c r="AH33" s="114">
        <f t="shared" si="41"/>
        <v>0.25316455696202533</v>
      </c>
      <c r="AI33" s="114">
        <f t="shared" si="41"/>
        <v>0</v>
      </c>
      <c r="AJ33" s="114">
        <f t="shared" si="41"/>
        <v>0.25316455696202533</v>
      </c>
      <c r="AK33" s="114">
        <f t="shared" si="41"/>
        <v>1.7721518987341773</v>
      </c>
      <c r="AL33" s="114">
        <f t="shared" si="41"/>
        <v>3.0379746835443036</v>
      </c>
      <c r="AM33" s="114">
        <f t="shared" si="41"/>
        <v>6.5822784810126587</v>
      </c>
      <c r="AN33" s="114">
        <f t="shared" si="41"/>
        <v>2.0253164556962027</v>
      </c>
      <c r="AO33" s="114">
        <f t="shared" si="41"/>
        <v>1.5189873417721518</v>
      </c>
      <c r="AP33" s="114">
        <f t="shared" si="41"/>
        <v>0.75949367088607589</v>
      </c>
      <c r="AQ33" s="114">
        <f t="shared" si="41"/>
        <v>2.0253164556962027</v>
      </c>
      <c r="AR33" s="114">
        <f t="shared" si="41"/>
        <v>6.5822784810126587</v>
      </c>
      <c r="AS33" s="111" t="s">
        <v>29</v>
      </c>
      <c r="AT33" s="115">
        <v>46</v>
      </c>
      <c r="AU33" s="116">
        <v>11.645569620253164</v>
      </c>
      <c r="AV33" s="117">
        <f t="shared" si="20"/>
        <v>81</v>
      </c>
      <c r="AW33" s="116">
        <f t="shared" si="21"/>
        <v>20.506329113924053</v>
      </c>
      <c r="AX33" s="117">
        <v>268</v>
      </c>
      <c r="AY33" s="116">
        <f t="shared" si="22"/>
        <v>67.848101265822805</v>
      </c>
      <c r="AZ33" s="117">
        <v>40</v>
      </c>
      <c r="BA33" s="116">
        <f t="shared" si="23"/>
        <v>10.126582278481012</v>
      </c>
    </row>
    <row r="34" spans="1:53" s="112" customFormat="1">
      <c r="A34" s="111" t="s">
        <v>30</v>
      </c>
      <c r="B34" s="112">
        <v>69</v>
      </c>
      <c r="C34" s="113">
        <f t="shared" si="18"/>
        <v>62</v>
      </c>
      <c r="D34" s="112">
        <v>15</v>
      </c>
      <c r="E34" s="112">
        <v>0</v>
      </c>
      <c r="F34" s="112">
        <v>1</v>
      </c>
      <c r="G34" s="112">
        <v>1</v>
      </c>
      <c r="H34" s="112">
        <v>0</v>
      </c>
      <c r="I34" s="112">
        <v>11</v>
      </c>
      <c r="J34" s="112">
        <v>6</v>
      </c>
      <c r="K34" s="112">
        <v>0</v>
      </c>
      <c r="L34" s="112">
        <v>14</v>
      </c>
      <c r="M34" s="112">
        <v>0</v>
      </c>
      <c r="N34" s="112">
        <v>0</v>
      </c>
      <c r="O34" s="112">
        <v>0</v>
      </c>
      <c r="P34" s="112">
        <v>1</v>
      </c>
      <c r="Q34" s="112">
        <v>1</v>
      </c>
      <c r="R34" s="112">
        <v>1</v>
      </c>
      <c r="S34" s="112">
        <v>9</v>
      </c>
      <c r="T34" s="112">
        <v>0</v>
      </c>
      <c r="U34" s="112">
        <v>1</v>
      </c>
      <c r="V34" s="112">
        <v>1</v>
      </c>
      <c r="W34" s="112">
        <v>0</v>
      </c>
      <c r="Y34" s="114">
        <f t="shared" ref="Y34:AH35" si="42">(D34/62)*100</f>
        <v>24.193548387096776</v>
      </c>
      <c r="Z34" s="114">
        <f t="shared" si="42"/>
        <v>0</v>
      </c>
      <c r="AA34" s="114">
        <f t="shared" si="42"/>
        <v>1.6129032258064515</v>
      </c>
      <c r="AB34" s="114">
        <f t="shared" si="42"/>
        <v>1.6129032258064515</v>
      </c>
      <c r="AC34" s="114">
        <f t="shared" si="42"/>
        <v>0</v>
      </c>
      <c r="AD34" s="114">
        <f t="shared" si="42"/>
        <v>17.741935483870968</v>
      </c>
      <c r="AE34" s="114">
        <f t="shared" si="42"/>
        <v>9.67741935483871</v>
      </c>
      <c r="AF34" s="114">
        <f t="shared" si="42"/>
        <v>0</v>
      </c>
      <c r="AG34" s="114">
        <f t="shared" si="42"/>
        <v>22.58064516129032</v>
      </c>
      <c r="AH34" s="114">
        <f t="shared" si="42"/>
        <v>0</v>
      </c>
      <c r="AI34" s="114">
        <f t="shared" ref="AI34:AR35" si="43">(N34/62)*100</f>
        <v>0</v>
      </c>
      <c r="AJ34" s="114">
        <f t="shared" si="43"/>
        <v>0</v>
      </c>
      <c r="AK34" s="114">
        <f t="shared" si="43"/>
        <v>1.6129032258064515</v>
      </c>
      <c r="AL34" s="114">
        <f t="shared" si="43"/>
        <v>1.6129032258064515</v>
      </c>
      <c r="AM34" s="114">
        <f t="shared" si="43"/>
        <v>1.6129032258064515</v>
      </c>
      <c r="AN34" s="114">
        <f t="shared" si="43"/>
        <v>14.516129032258066</v>
      </c>
      <c r="AO34" s="114">
        <f t="shared" si="43"/>
        <v>0</v>
      </c>
      <c r="AP34" s="114">
        <f t="shared" si="43"/>
        <v>1.6129032258064515</v>
      </c>
      <c r="AQ34" s="114">
        <f t="shared" si="43"/>
        <v>1.6129032258064515</v>
      </c>
      <c r="AR34" s="114">
        <f t="shared" si="43"/>
        <v>0</v>
      </c>
      <c r="AS34" s="111" t="s">
        <v>30</v>
      </c>
      <c r="AT34" s="115">
        <v>15</v>
      </c>
      <c r="AU34" s="116">
        <v>24.193548387096776</v>
      </c>
      <c r="AV34" s="117">
        <f t="shared" si="20"/>
        <v>13</v>
      </c>
      <c r="AW34" s="116">
        <f t="shared" si="21"/>
        <v>20.967741935483872</v>
      </c>
      <c r="AX34" s="117">
        <v>34</v>
      </c>
      <c r="AY34" s="116">
        <f t="shared" si="22"/>
        <v>54.838709677419338</v>
      </c>
      <c r="AZ34" s="117">
        <v>10</v>
      </c>
      <c r="BA34" s="116">
        <f t="shared" si="23"/>
        <v>16.129032258064516</v>
      </c>
    </row>
    <row r="35" spans="1:53" s="112" customFormat="1">
      <c r="A35" s="111" t="s">
        <v>31</v>
      </c>
      <c r="B35" s="112">
        <v>64</v>
      </c>
      <c r="C35" s="113">
        <f t="shared" si="18"/>
        <v>62</v>
      </c>
      <c r="D35" s="112">
        <v>25</v>
      </c>
      <c r="E35" s="112">
        <v>0</v>
      </c>
      <c r="F35" s="112">
        <v>1</v>
      </c>
      <c r="G35" s="112">
        <v>0</v>
      </c>
      <c r="H35" s="112">
        <v>0</v>
      </c>
      <c r="I35" s="112">
        <v>7</v>
      </c>
      <c r="J35" s="112">
        <v>3</v>
      </c>
      <c r="K35" s="112">
        <v>0</v>
      </c>
      <c r="L35" s="112">
        <v>12</v>
      </c>
      <c r="M35" s="112">
        <v>1</v>
      </c>
      <c r="N35" s="112">
        <v>0</v>
      </c>
      <c r="O35" s="112">
        <v>0</v>
      </c>
      <c r="P35" s="112">
        <v>0</v>
      </c>
      <c r="Q35" s="112">
        <v>1</v>
      </c>
      <c r="R35" s="112">
        <v>1</v>
      </c>
      <c r="S35" s="112">
        <v>9</v>
      </c>
      <c r="T35" s="112">
        <v>1</v>
      </c>
      <c r="U35" s="112">
        <v>0</v>
      </c>
      <c r="V35" s="112">
        <v>0</v>
      </c>
      <c r="W35" s="112">
        <v>1</v>
      </c>
      <c r="Y35" s="114">
        <f t="shared" si="42"/>
        <v>40.322580645161288</v>
      </c>
      <c r="Z35" s="114">
        <f t="shared" si="42"/>
        <v>0</v>
      </c>
      <c r="AA35" s="114">
        <f t="shared" si="42"/>
        <v>1.6129032258064515</v>
      </c>
      <c r="AB35" s="114">
        <f t="shared" si="42"/>
        <v>0</v>
      </c>
      <c r="AC35" s="114">
        <f t="shared" si="42"/>
        <v>0</v>
      </c>
      <c r="AD35" s="114">
        <f t="shared" si="42"/>
        <v>11.29032258064516</v>
      </c>
      <c r="AE35" s="114">
        <f t="shared" si="42"/>
        <v>4.838709677419355</v>
      </c>
      <c r="AF35" s="114">
        <f t="shared" si="42"/>
        <v>0</v>
      </c>
      <c r="AG35" s="114">
        <f t="shared" si="42"/>
        <v>19.35483870967742</v>
      </c>
      <c r="AH35" s="114">
        <f t="shared" si="42"/>
        <v>1.6129032258064515</v>
      </c>
      <c r="AI35" s="114">
        <f t="shared" si="43"/>
        <v>0</v>
      </c>
      <c r="AJ35" s="114">
        <f t="shared" si="43"/>
        <v>0</v>
      </c>
      <c r="AK35" s="114">
        <f t="shared" si="43"/>
        <v>0</v>
      </c>
      <c r="AL35" s="114">
        <f t="shared" si="43"/>
        <v>1.6129032258064515</v>
      </c>
      <c r="AM35" s="114">
        <f t="shared" si="43"/>
        <v>1.6129032258064515</v>
      </c>
      <c r="AN35" s="114">
        <f t="shared" si="43"/>
        <v>14.516129032258066</v>
      </c>
      <c r="AO35" s="114">
        <f t="shared" si="43"/>
        <v>1.6129032258064515</v>
      </c>
      <c r="AP35" s="114">
        <f t="shared" si="43"/>
        <v>0</v>
      </c>
      <c r="AQ35" s="114">
        <f t="shared" si="43"/>
        <v>0</v>
      </c>
      <c r="AR35" s="114">
        <f t="shared" si="43"/>
        <v>1.6129032258064515</v>
      </c>
      <c r="AS35" s="111" t="s">
        <v>31</v>
      </c>
      <c r="AT35" s="115">
        <v>25</v>
      </c>
      <c r="AU35" s="116">
        <v>40.322580645161288</v>
      </c>
      <c r="AV35" s="117">
        <f t="shared" si="20"/>
        <v>8</v>
      </c>
      <c r="AW35" s="116">
        <f t="shared" si="21"/>
        <v>12.903225806451612</v>
      </c>
      <c r="AX35" s="117">
        <v>29</v>
      </c>
      <c r="AY35" s="116">
        <f t="shared" si="22"/>
        <v>46.774193548387096</v>
      </c>
      <c r="AZ35" s="117">
        <v>11</v>
      </c>
      <c r="BA35" s="116">
        <f t="shared" si="23"/>
        <v>17.741935483870968</v>
      </c>
    </row>
    <row r="36" spans="1:53" s="112" customFormat="1">
      <c r="A36" s="111" t="s">
        <v>32</v>
      </c>
      <c r="B36" s="112">
        <v>6555</v>
      </c>
      <c r="C36" s="113">
        <f t="shared" si="18"/>
        <v>6398</v>
      </c>
      <c r="D36" s="112">
        <v>213</v>
      </c>
      <c r="E36" s="112">
        <v>12</v>
      </c>
      <c r="F36" s="112">
        <v>216</v>
      </c>
      <c r="G36" s="112">
        <v>47</v>
      </c>
      <c r="H36" s="112">
        <v>28</v>
      </c>
      <c r="I36" s="112">
        <v>758</v>
      </c>
      <c r="J36" s="112">
        <v>1325</v>
      </c>
      <c r="K36" s="112">
        <v>368</v>
      </c>
      <c r="L36" s="112">
        <v>1994</v>
      </c>
      <c r="M36" s="112">
        <v>25</v>
      </c>
      <c r="N36" s="112">
        <v>44</v>
      </c>
      <c r="O36" s="112">
        <v>0</v>
      </c>
      <c r="P36" s="112">
        <v>206</v>
      </c>
      <c r="Q36" s="112">
        <v>344</v>
      </c>
      <c r="R36" s="112">
        <v>323</v>
      </c>
      <c r="S36" s="112">
        <v>265</v>
      </c>
      <c r="T36" s="112">
        <v>81</v>
      </c>
      <c r="U36" s="112">
        <v>54</v>
      </c>
      <c r="V36" s="112">
        <v>83</v>
      </c>
      <c r="W36" s="112">
        <v>12</v>
      </c>
      <c r="Y36" s="114">
        <f t="shared" ref="Y36:AR36" si="44">(D36/6398)*100</f>
        <v>3.3291653641763048</v>
      </c>
      <c r="Z36" s="114">
        <f t="shared" si="44"/>
        <v>0.1875586120662707</v>
      </c>
      <c r="AA36" s="114">
        <f t="shared" si="44"/>
        <v>3.3760550171928729</v>
      </c>
      <c r="AB36" s="114">
        <f t="shared" si="44"/>
        <v>0.73460456392622697</v>
      </c>
      <c r="AC36" s="114">
        <f t="shared" si="44"/>
        <v>0.43763676148796499</v>
      </c>
      <c r="AD36" s="114">
        <f t="shared" si="44"/>
        <v>11.847452328852766</v>
      </c>
      <c r="AE36" s="114">
        <f t="shared" si="44"/>
        <v>20.709596748984058</v>
      </c>
      <c r="AF36" s="114">
        <f t="shared" si="44"/>
        <v>5.7517974366989684</v>
      </c>
      <c r="AG36" s="114">
        <f t="shared" si="44"/>
        <v>31.165989371678648</v>
      </c>
      <c r="AH36" s="114">
        <f t="shared" si="44"/>
        <v>0.39074710847139726</v>
      </c>
      <c r="AI36" s="114">
        <f t="shared" si="44"/>
        <v>0.6877149109096593</v>
      </c>
      <c r="AJ36" s="114">
        <f t="shared" si="44"/>
        <v>0</v>
      </c>
      <c r="AK36" s="114">
        <f t="shared" si="44"/>
        <v>3.2197561738043139</v>
      </c>
      <c r="AL36" s="114">
        <f t="shared" si="44"/>
        <v>5.376680212566427</v>
      </c>
      <c r="AM36" s="114">
        <f t="shared" si="44"/>
        <v>5.0484526414504529</v>
      </c>
      <c r="AN36" s="114">
        <f t="shared" si="44"/>
        <v>4.1419193497968116</v>
      </c>
      <c r="AO36" s="114">
        <f t="shared" si="44"/>
        <v>1.2660206314473272</v>
      </c>
      <c r="AP36" s="114">
        <f t="shared" si="44"/>
        <v>0.84401375429821823</v>
      </c>
      <c r="AQ36" s="114">
        <f t="shared" si="44"/>
        <v>1.2972804001250391</v>
      </c>
      <c r="AR36" s="114">
        <f t="shared" si="44"/>
        <v>0.1875586120662707</v>
      </c>
      <c r="AS36" s="111" t="s">
        <v>32</v>
      </c>
      <c r="AT36" s="115">
        <v>213</v>
      </c>
      <c r="AU36" s="116">
        <v>3.3291653641763048</v>
      </c>
      <c r="AV36" s="117">
        <f t="shared" si="20"/>
        <v>1061</v>
      </c>
      <c r="AW36" s="116">
        <f t="shared" si="21"/>
        <v>16.5833072835261</v>
      </c>
      <c r="AX36" s="117">
        <v>5124</v>
      </c>
      <c r="AY36" s="116">
        <f t="shared" si="22"/>
        <v>80.087527352297585</v>
      </c>
      <c r="AZ36" s="117">
        <v>669</v>
      </c>
      <c r="BA36" s="116">
        <f t="shared" si="23"/>
        <v>10.456392622694592</v>
      </c>
    </row>
    <row r="37" spans="1:53" s="112" customFormat="1">
      <c r="A37" s="111" t="s">
        <v>33</v>
      </c>
      <c r="B37" s="112">
        <v>72</v>
      </c>
      <c r="C37" s="113">
        <f t="shared" si="18"/>
        <v>68</v>
      </c>
      <c r="D37" s="112">
        <v>9</v>
      </c>
      <c r="E37" s="112">
        <v>0</v>
      </c>
      <c r="F37" s="112">
        <v>1</v>
      </c>
      <c r="G37" s="112">
        <v>0</v>
      </c>
      <c r="H37" s="112">
        <v>1</v>
      </c>
      <c r="I37" s="112">
        <v>4</v>
      </c>
      <c r="J37" s="112">
        <v>7</v>
      </c>
      <c r="K37" s="112">
        <v>11</v>
      </c>
      <c r="L37" s="112">
        <v>12</v>
      </c>
      <c r="M37" s="112">
        <v>0</v>
      </c>
      <c r="N37" s="112">
        <v>0</v>
      </c>
      <c r="O37" s="112">
        <v>0</v>
      </c>
      <c r="P37" s="112">
        <v>0</v>
      </c>
      <c r="Q37" s="112">
        <v>1</v>
      </c>
      <c r="R37" s="112">
        <v>4</v>
      </c>
      <c r="S37" s="112">
        <v>15</v>
      </c>
      <c r="T37" s="112">
        <v>1</v>
      </c>
      <c r="U37" s="112">
        <v>0</v>
      </c>
      <c r="V37" s="112">
        <v>1</v>
      </c>
      <c r="W37" s="112">
        <v>1</v>
      </c>
      <c r="Y37" s="114">
        <f t="shared" ref="Y37:AR37" si="45">(D37/68)*100</f>
        <v>13.23529411764706</v>
      </c>
      <c r="Z37" s="114">
        <f t="shared" si="45"/>
        <v>0</v>
      </c>
      <c r="AA37" s="114">
        <f t="shared" si="45"/>
        <v>1.4705882352941175</v>
      </c>
      <c r="AB37" s="114">
        <f t="shared" si="45"/>
        <v>0</v>
      </c>
      <c r="AC37" s="114">
        <f t="shared" si="45"/>
        <v>1.4705882352941175</v>
      </c>
      <c r="AD37" s="114">
        <f t="shared" si="45"/>
        <v>5.8823529411764701</v>
      </c>
      <c r="AE37" s="114">
        <f t="shared" si="45"/>
        <v>10.294117647058822</v>
      </c>
      <c r="AF37" s="114">
        <f t="shared" si="45"/>
        <v>16.176470588235293</v>
      </c>
      <c r="AG37" s="114">
        <f t="shared" si="45"/>
        <v>17.647058823529413</v>
      </c>
      <c r="AH37" s="114">
        <f t="shared" si="45"/>
        <v>0</v>
      </c>
      <c r="AI37" s="114">
        <f t="shared" si="45"/>
        <v>0</v>
      </c>
      <c r="AJ37" s="114">
        <f t="shared" si="45"/>
        <v>0</v>
      </c>
      <c r="AK37" s="114">
        <f t="shared" si="45"/>
        <v>0</v>
      </c>
      <c r="AL37" s="114">
        <f t="shared" si="45"/>
        <v>1.4705882352941175</v>
      </c>
      <c r="AM37" s="114">
        <f t="shared" si="45"/>
        <v>5.8823529411764701</v>
      </c>
      <c r="AN37" s="114">
        <f t="shared" si="45"/>
        <v>22.058823529411764</v>
      </c>
      <c r="AO37" s="114">
        <f t="shared" si="45"/>
        <v>1.4705882352941175</v>
      </c>
      <c r="AP37" s="114">
        <f t="shared" si="45"/>
        <v>0</v>
      </c>
      <c r="AQ37" s="114">
        <f t="shared" si="45"/>
        <v>1.4705882352941175</v>
      </c>
      <c r="AR37" s="114">
        <f t="shared" si="45"/>
        <v>1.4705882352941175</v>
      </c>
      <c r="AS37" s="111" t="s">
        <v>33</v>
      </c>
      <c r="AT37" s="115">
        <v>9</v>
      </c>
      <c r="AU37" s="116">
        <v>13.23529411764706</v>
      </c>
      <c r="AV37" s="117">
        <f t="shared" si="20"/>
        <v>6</v>
      </c>
      <c r="AW37" s="116">
        <f t="shared" si="21"/>
        <v>8.8235294117647047</v>
      </c>
      <c r="AX37" s="117">
        <v>53</v>
      </c>
      <c r="AY37" s="116">
        <f t="shared" si="22"/>
        <v>77.941176470588232</v>
      </c>
      <c r="AZ37" s="117">
        <v>20</v>
      </c>
      <c r="BA37" s="116">
        <f t="shared" si="23"/>
        <v>29.411764705882351</v>
      </c>
    </row>
    <row r="38" spans="1:53" s="112" customFormat="1">
      <c r="A38" s="111" t="s">
        <v>34</v>
      </c>
      <c r="B38" s="112">
        <v>880</v>
      </c>
      <c r="C38" s="113">
        <f t="shared" si="18"/>
        <v>761</v>
      </c>
      <c r="D38" s="112">
        <v>73</v>
      </c>
      <c r="E38" s="112">
        <v>0</v>
      </c>
      <c r="F38" s="112">
        <v>30</v>
      </c>
      <c r="G38" s="112">
        <v>1</v>
      </c>
      <c r="H38" s="112">
        <v>1</v>
      </c>
      <c r="I38" s="112">
        <v>147</v>
      </c>
      <c r="J38" s="112">
        <v>137</v>
      </c>
      <c r="K38" s="112">
        <v>1</v>
      </c>
      <c r="L38" s="112">
        <v>262</v>
      </c>
      <c r="M38" s="112">
        <v>0</v>
      </c>
      <c r="N38" s="112">
        <v>12</v>
      </c>
      <c r="O38" s="112">
        <v>1</v>
      </c>
      <c r="P38" s="112">
        <v>1</v>
      </c>
      <c r="Q38" s="112">
        <v>1</v>
      </c>
      <c r="R38" s="112">
        <v>47</v>
      </c>
      <c r="S38" s="112">
        <v>43</v>
      </c>
      <c r="T38" s="112">
        <v>1</v>
      </c>
      <c r="U38" s="112">
        <v>1</v>
      </c>
      <c r="V38" s="112">
        <v>1</v>
      </c>
      <c r="W38" s="112">
        <v>1</v>
      </c>
      <c r="Y38" s="114">
        <f t="shared" ref="Y38:AR38" si="46">(D38/761)*100</f>
        <v>9.592641261498029</v>
      </c>
      <c r="Z38" s="114">
        <f t="shared" si="46"/>
        <v>0</v>
      </c>
      <c r="AA38" s="114">
        <f t="shared" si="46"/>
        <v>3.9421813403416559</v>
      </c>
      <c r="AB38" s="114">
        <f t="shared" si="46"/>
        <v>0.13140604467805519</v>
      </c>
      <c r="AC38" s="114">
        <f t="shared" si="46"/>
        <v>0.13140604467805519</v>
      </c>
      <c r="AD38" s="114">
        <f t="shared" si="46"/>
        <v>19.316688567674113</v>
      </c>
      <c r="AE38" s="114">
        <f t="shared" si="46"/>
        <v>18.002628120893561</v>
      </c>
      <c r="AF38" s="114">
        <f t="shared" si="46"/>
        <v>0.13140604467805519</v>
      </c>
      <c r="AG38" s="114">
        <f t="shared" si="46"/>
        <v>34.428383705650461</v>
      </c>
      <c r="AH38" s="114">
        <f t="shared" si="46"/>
        <v>0</v>
      </c>
      <c r="AI38" s="114">
        <f t="shared" si="46"/>
        <v>1.5768725361366622</v>
      </c>
      <c r="AJ38" s="114">
        <f t="shared" si="46"/>
        <v>0.13140604467805519</v>
      </c>
      <c r="AK38" s="114">
        <f t="shared" si="46"/>
        <v>0.13140604467805519</v>
      </c>
      <c r="AL38" s="114">
        <f t="shared" si="46"/>
        <v>0.13140604467805519</v>
      </c>
      <c r="AM38" s="114">
        <f t="shared" si="46"/>
        <v>6.1760840998685937</v>
      </c>
      <c r="AN38" s="114">
        <f t="shared" si="46"/>
        <v>5.6504599211563731</v>
      </c>
      <c r="AO38" s="114">
        <f t="shared" si="46"/>
        <v>0.13140604467805519</v>
      </c>
      <c r="AP38" s="114">
        <f t="shared" si="46"/>
        <v>0.13140604467805519</v>
      </c>
      <c r="AQ38" s="114">
        <f t="shared" si="46"/>
        <v>0.13140604467805519</v>
      </c>
      <c r="AR38" s="114">
        <f t="shared" si="46"/>
        <v>0.13140604467805519</v>
      </c>
      <c r="AS38" s="111" t="s">
        <v>34</v>
      </c>
      <c r="AT38" s="115">
        <v>73</v>
      </c>
      <c r="AU38" s="116">
        <v>9.592641261498029</v>
      </c>
      <c r="AV38" s="117">
        <f t="shared" si="20"/>
        <v>179</v>
      </c>
      <c r="AW38" s="116">
        <f t="shared" si="21"/>
        <v>23.521681997371878</v>
      </c>
      <c r="AX38" s="117">
        <v>509</v>
      </c>
      <c r="AY38" s="116">
        <f t="shared" si="22"/>
        <v>66.885676741130126</v>
      </c>
      <c r="AZ38" s="117">
        <v>91</v>
      </c>
      <c r="BA38" s="116">
        <f t="shared" si="23"/>
        <v>11.957950065703022</v>
      </c>
    </row>
    <row r="39" spans="1:53" s="112" customFormat="1">
      <c r="A39" s="111" t="s">
        <v>35</v>
      </c>
      <c r="B39" s="112">
        <v>893</v>
      </c>
      <c r="C39" s="113">
        <f t="shared" si="18"/>
        <v>871</v>
      </c>
      <c r="D39" s="112">
        <v>143</v>
      </c>
      <c r="E39" s="112">
        <v>1</v>
      </c>
      <c r="F39" s="112">
        <v>25</v>
      </c>
      <c r="G39" s="112">
        <v>2</v>
      </c>
      <c r="H39" s="112">
        <v>1</v>
      </c>
      <c r="I39" s="112">
        <v>240</v>
      </c>
      <c r="J39" s="112">
        <v>139</v>
      </c>
      <c r="K39" s="112">
        <v>30</v>
      </c>
      <c r="L39" s="112">
        <v>99</v>
      </c>
      <c r="M39" s="112">
        <v>2</v>
      </c>
      <c r="N39" s="112">
        <v>10</v>
      </c>
      <c r="O39" s="112">
        <v>1</v>
      </c>
      <c r="P39" s="112">
        <v>21</v>
      </c>
      <c r="Q39" s="112">
        <v>23</v>
      </c>
      <c r="R39" s="112">
        <v>44</v>
      </c>
      <c r="S39" s="112">
        <v>50</v>
      </c>
      <c r="T39" s="112">
        <v>14</v>
      </c>
      <c r="U39" s="112">
        <v>7</v>
      </c>
      <c r="V39" s="112">
        <v>2</v>
      </c>
      <c r="W39" s="112">
        <v>17</v>
      </c>
      <c r="Y39" s="114">
        <f t="shared" ref="Y39:AR39" si="47">(D39/871)*100</f>
        <v>16.417910447761194</v>
      </c>
      <c r="Z39" s="114">
        <f t="shared" si="47"/>
        <v>0.11481056257175661</v>
      </c>
      <c r="AA39" s="114">
        <f t="shared" si="47"/>
        <v>2.8702640642939152</v>
      </c>
      <c r="AB39" s="114">
        <f t="shared" si="47"/>
        <v>0.22962112514351321</v>
      </c>
      <c r="AC39" s="114">
        <f t="shared" si="47"/>
        <v>0.11481056257175661</v>
      </c>
      <c r="AD39" s="114">
        <f t="shared" si="47"/>
        <v>27.554535017221582</v>
      </c>
      <c r="AE39" s="114">
        <f t="shared" si="47"/>
        <v>15.958668197474168</v>
      </c>
      <c r="AF39" s="114">
        <f t="shared" si="47"/>
        <v>3.4443168771526977</v>
      </c>
      <c r="AG39" s="114">
        <f t="shared" si="47"/>
        <v>11.366245694603903</v>
      </c>
      <c r="AH39" s="114">
        <f t="shared" si="47"/>
        <v>0.22962112514351321</v>
      </c>
      <c r="AI39" s="114">
        <f t="shared" si="47"/>
        <v>1.1481056257175661</v>
      </c>
      <c r="AJ39" s="114">
        <f t="shared" si="47"/>
        <v>0.11481056257175661</v>
      </c>
      <c r="AK39" s="114">
        <f t="shared" si="47"/>
        <v>2.4110218140068884</v>
      </c>
      <c r="AL39" s="114">
        <f t="shared" si="47"/>
        <v>2.640642939150402</v>
      </c>
      <c r="AM39" s="114">
        <f t="shared" si="47"/>
        <v>5.05166475315729</v>
      </c>
      <c r="AN39" s="114">
        <f t="shared" si="47"/>
        <v>5.7405281285878305</v>
      </c>
      <c r="AO39" s="114">
        <f t="shared" si="47"/>
        <v>1.6073478760045925</v>
      </c>
      <c r="AP39" s="114">
        <f t="shared" si="47"/>
        <v>0.80367393800229625</v>
      </c>
      <c r="AQ39" s="114">
        <f t="shared" si="47"/>
        <v>0.22962112514351321</v>
      </c>
      <c r="AR39" s="114">
        <f t="shared" si="47"/>
        <v>1.9517795637198621</v>
      </c>
      <c r="AS39" s="111" t="s">
        <v>35</v>
      </c>
      <c r="AT39" s="115">
        <v>143</v>
      </c>
      <c r="AU39" s="116">
        <v>16.417910447761194</v>
      </c>
      <c r="AV39" s="117">
        <f t="shared" si="20"/>
        <v>269</v>
      </c>
      <c r="AW39" s="116">
        <f t="shared" si="21"/>
        <v>30.884041331802525</v>
      </c>
      <c r="AX39" s="117">
        <v>459</v>
      </c>
      <c r="AY39" s="116">
        <f t="shared" si="22"/>
        <v>52.698048220436284</v>
      </c>
      <c r="AZ39" s="117">
        <v>108</v>
      </c>
      <c r="BA39" s="116">
        <f t="shared" si="23"/>
        <v>12.399540757749712</v>
      </c>
    </row>
    <row r="40" spans="1:53" s="112" customFormat="1">
      <c r="A40" s="111" t="s">
        <v>36</v>
      </c>
      <c r="B40" s="112">
        <v>199</v>
      </c>
      <c r="C40" s="113">
        <f t="shared" si="18"/>
        <v>197</v>
      </c>
      <c r="D40" s="112">
        <v>21</v>
      </c>
      <c r="E40" s="112">
        <v>13</v>
      </c>
      <c r="F40" s="112">
        <v>22</v>
      </c>
      <c r="G40" s="112">
        <v>4</v>
      </c>
      <c r="H40" s="112">
        <v>3</v>
      </c>
      <c r="I40" s="112">
        <v>29</v>
      </c>
      <c r="J40" s="112">
        <v>20</v>
      </c>
      <c r="K40" s="112">
        <v>19</v>
      </c>
      <c r="L40" s="112">
        <v>18</v>
      </c>
      <c r="M40" s="112">
        <v>0</v>
      </c>
      <c r="N40" s="112">
        <v>0</v>
      </c>
      <c r="O40" s="112">
        <v>0</v>
      </c>
      <c r="P40" s="112">
        <v>6</v>
      </c>
      <c r="Q40" s="112">
        <v>1</v>
      </c>
      <c r="R40" s="112">
        <v>9</v>
      </c>
      <c r="S40" s="112">
        <v>16</v>
      </c>
      <c r="T40" s="112">
        <v>14</v>
      </c>
      <c r="U40" s="112">
        <v>0</v>
      </c>
      <c r="V40" s="112">
        <v>1</v>
      </c>
      <c r="W40" s="112">
        <v>1</v>
      </c>
      <c r="Y40" s="114">
        <f t="shared" ref="Y40:AR40" si="48">(D40/197)*100</f>
        <v>10.659898477157361</v>
      </c>
      <c r="Z40" s="114">
        <f t="shared" si="48"/>
        <v>6.5989847715736047</v>
      </c>
      <c r="AA40" s="114">
        <f t="shared" si="48"/>
        <v>11.167512690355331</v>
      </c>
      <c r="AB40" s="114">
        <f t="shared" si="48"/>
        <v>2.030456852791878</v>
      </c>
      <c r="AC40" s="114">
        <f t="shared" si="48"/>
        <v>1.5228426395939088</v>
      </c>
      <c r="AD40" s="114">
        <f t="shared" si="48"/>
        <v>14.720812182741117</v>
      </c>
      <c r="AE40" s="114">
        <f t="shared" si="48"/>
        <v>10.152284263959391</v>
      </c>
      <c r="AF40" s="114">
        <f t="shared" si="48"/>
        <v>9.6446700507614214</v>
      </c>
      <c r="AG40" s="114">
        <f t="shared" si="48"/>
        <v>9.1370558375634516</v>
      </c>
      <c r="AH40" s="114">
        <f t="shared" si="48"/>
        <v>0</v>
      </c>
      <c r="AI40" s="114">
        <f t="shared" si="48"/>
        <v>0</v>
      </c>
      <c r="AJ40" s="114">
        <f t="shared" si="48"/>
        <v>0</v>
      </c>
      <c r="AK40" s="114">
        <f t="shared" si="48"/>
        <v>3.0456852791878175</v>
      </c>
      <c r="AL40" s="114">
        <f t="shared" si="48"/>
        <v>0.50761421319796951</v>
      </c>
      <c r="AM40" s="114">
        <f t="shared" si="48"/>
        <v>4.5685279187817258</v>
      </c>
      <c r="AN40" s="114">
        <f t="shared" si="48"/>
        <v>8.1218274111675122</v>
      </c>
      <c r="AO40" s="114">
        <f t="shared" si="48"/>
        <v>7.1065989847715745</v>
      </c>
      <c r="AP40" s="114">
        <f t="shared" si="48"/>
        <v>0</v>
      </c>
      <c r="AQ40" s="114">
        <f t="shared" si="48"/>
        <v>0.50761421319796951</v>
      </c>
      <c r="AR40" s="114">
        <f t="shared" si="48"/>
        <v>0.50761421319796951</v>
      </c>
      <c r="AS40" s="111" t="s">
        <v>36</v>
      </c>
      <c r="AT40" s="115">
        <v>21</v>
      </c>
      <c r="AU40" s="116">
        <v>10.659898477157361</v>
      </c>
      <c r="AV40" s="117">
        <f t="shared" si="20"/>
        <v>71</v>
      </c>
      <c r="AW40" s="116">
        <f t="shared" si="21"/>
        <v>36.040609137055839</v>
      </c>
      <c r="AX40" s="117">
        <v>105</v>
      </c>
      <c r="AY40" s="116">
        <f t="shared" si="22"/>
        <v>53.299492385786799</v>
      </c>
      <c r="AZ40" s="117">
        <v>39</v>
      </c>
      <c r="BA40" s="116">
        <f t="shared" si="23"/>
        <v>19.796954314720814</v>
      </c>
    </row>
    <row r="41" spans="1:53" s="112" customFormat="1">
      <c r="A41" s="111" t="s">
        <v>37</v>
      </c>
      <c r="B41" s="112">
        <v>198</v>
      </c>
      <c r="C41" s="113">
        <f t="shared" si="18"/>
        <v>195</v>
      </c>
      <c r="D41" s="112">
        <v>38</v>
      </c>
      <c r="E41" s="112">
        <v>0</v>
      </c>
      <c r="F41" s="112">
        <v>4</v>
      </c>
      <c r="G41" s="112">
        <v>1</v>
      </c>
      <c r="H41" s="112">
        <v>1</v>
      </c>
      <c r="I41" s="112">
        <v>42</v>
      </c>
      <c r="J41" s="112">
        <v>10</v>
      </c>
      <c r="K41" s="112">
        <v>5</v>
      </c>
      <c r="L41" s="112">
        <v>59</v>
      </c>
      <c r="M41" s="112">
        <v>0</v>
      </c>
      <c r="N41" s="112">
        <v>0</v>
      </c>
      <c r="O41" s="112">
        <v>0</v>
      </c>
      <c r="P41" s="112">
        <v>0</v>
      </c>
      <c r="Q41" s="112">
        <v>5</v>
      </c>
      <c r="R41" s="112">
        <v>5</v>
      </c>
      <c r="S41" s="112">
        <v>21</v>
      </c>
      <c r="T41" s="112">
        <v>1</v>
      </c>
      <c r="U41" s="112">
        <v>1</v>
      </c>
      <c r="V41" s="112">
        <v>1</v>
      </c>
      <c r="W41" s="112">
        <v>1</v>
      </c>
      <c r="Y41" s="114">
        <f t="shared" ref="Y41:AR41" si="49">(D41/195)*100</f>
        <v>19.487179487179489</v>
      </c>
      <c r="Z41" s="114">
        <f t="shared" si="49"/>
        <v>0</v>
      </c>
      <c r="AA41" s="114">
        <f t="shared" si="49"/>
        <v>2.0512820512820511</v>
      </c>
      <c r="AB41" s="114">
        <f t="shared" si="49"/>
        <v>0.51282051282051277</v>
      </c>
      <c r="AC41" s="114">
        <f t="shared" si="49"/>
        <v>0.51282051282051277</v>
      </c>
      <c r="AD41" s="114">
        <f t="shared" si="49"/>
        <v>21.53846153846154</v>
      </c>
      <c r="AE41" s="114">
        <f t="shared" si="49"/>
        <v>5.1282051282051277</v>
      </c>
      <c r="AF41" s="114">
        <f t="shared" si="49"/>
        <v>2.5641025641025639</v>
      </c>
      <c r="AG41" s="114">
        <f t="shared" si="49"/>
        <v>30.256410256410255</v>
      </c>
      <c r="AH41" s="114">
        <f t="shared" si="49"/>
        <v>0</v>
      </c>
      <c r="AI41" s="114">
        <f t="shared" si="49"/>
        <v>0</v>
      </c>
      <c r="AJ41" s="114">
        <f t="shared" si="49"/>
        <v>0</v>
      </c>
      <c r="AK41" s="114">
        <f t="shared" si="49"/>
        <v>0</v>
      </c>
      <c r="AL41" s="114">
        <f t="shared" si="49"/>
        <v>2.5641025641025639</v>
      </c>
      <c r="AM41" s="114">
        <f t="shared" si="49"/>
        <v>2.5641025641025639</v>
      </c>
      <c r="AN41" s="114">
        <f t="shared" si="49"/>
        <v>10.76923076923077</v>
      </c>
      <c r="AO41" s="114">
        <f t="shared" si="49"/>
        <v>0.51282051282051277</v>
      </c>
      <c r="AP41" s="114">
        <f t="shared" si="49"/>
        <v>0.51282051282051277</v>
      </c>
      <c r="AQ41" s="114">
        <f t="shared" si="49"/>
        <v>0.51282051282051277</v>
      </c>
      <c r="AR41" s="114">
        <f t="shared" si="49"/>
        <v>0.51282051282051277</v>
      </c>
      <c r="AS41" s="111" t="s">
        <v>37</v>
      </c>
      <c r="AT41" s="115">
        <v>38</v>
      </c>
      <c r="AU41" s="116">
        <v>19.487179487179489</v>
      </c>
      <c r="AV41" s="117">
        <f t="shared" si="20"/>
        <v>48</v>
      </c>
      <c r="AW41" s="116">
        <f t="shared" si="21"/>
        <v>24.615384615384617</v>
      </c>
      <c r="AX41" s="117">
        <v>109</v>
      </c>
      <c r="AY41" s="116">
        <f t="shared" si="22"/>
        <v>55.897435897435884</v>
      </c>
      <c r="AZ41" s="117">
        <v>27</v>
      </c>
      <c r="BA41" s="116">
        <f t="shared" si="23"/>
        <v>13.846153846153847</v>
      </c>
    </row>
    <row r="42" spans="1:53" s="112" customFormat="1">
      <c r="A42" s="111" t="s">
        <v>38</v>
      </c>
      <c r="B42" s="112">
        <v>551</v>
      </c>
      <c r="C42" s="113">
        <f t="shared" si="18"/>
        <v>532</v>
      </c>
      <c r="D42" s="112">
        <v>131</v>
      </c>
      <c r="E42" s="112">
        <v>0</v>
      </c>
      <c r="F42" s="112">
        <v>12</v>
      </c>
      <c r="G42" s="112">
        <v>16</v>
      </c>
      <c r="H42" s="112">
        <v>2</v>
      </c>
      <c r="I42" s="112">
        <v>114</v>
      </c>
      <c r="J42" s="112">
        <v>66</v>
      </c>
      <c r="K42" s="112">
        <v>16</v>
      </c>
      <c r="L42" s="112">
        <v>77</v>
      </c>
      <c r="M42" s="112">
        <v>2</v>
      </c>
      <c r="N42" s="112">
        <v>2</v>
      </c>
      <c r="O42" s="112">
        <v>1</v>
      </c>
      <c r="P42" s="112">
        <v>11</v>
      </c>
      <c r="Q42" s="112">
        <v>10</v>
      </c>
      <c r="R42" s="112">
        <v>31</v>
      </c>
      <c r="S42" s="112">
        <v>34</v>
      </c>
      <c r="T42" s="112">
        <v>2</v>
      </c>
      <c r="U42" s="112">
        <v>1</v>
      </c>
      <c r="V42" s="112">
        <v>2</v>
      </c>
      <c r="W42" s="112">
        <v>2</v>
      </c>
      <c r="Y42" s="114">
        <f t="shared" ref="Y42:AR42" si="50">(D42/532)*100</f>
        <v>24.624060150375939</v>
      </c>
      <c r="Z42" s="114">
        <f t="shared" si="50"/>
        <v>0</v>
      </c>
      <c r="AA42" s="114">
        <f t="shared" si="50"/>
        <v>2.2556390977443606</v>
      </c>
      <c r="AB42" s="114">
        <f t="shared" si="50"/>
        <v>3.007518796992481</v>
      </c>
      <c r="AC42" s="114">
        <f t="shared" si="50"/>
        <v>0.37593984962406013</v>
      </c>
      <c r="AD42" s="114">
        <f t="shared" si="50"/>
        <v>21.428571428571427</v>
      </c>
      <c r="AE42" s="114">
        <f t="shared" si="50"/>
        <v>12.406015037593985</v>
      </c>
      <c r="AF42" s="114">
        <f t="shared" si="50"/>
        <v>3.007518796992481</v>
      </c>
      <c r="AG42" s="114">
        <f t="shared" si="50"/>
        <v>14.473684210526317</v>
      </c>
      <c r="AH42" s="114">
        <f t="shared" si="50"/>
        <v>0.37593984962406013</v>
      </c>
      <c r="AI42" s="114">
        <f t="shared" si="50"/>
        <v>0.37593984962406013</v>
      </c>
      <c r="AJ42" s="114">
        <f t="shared" si="50"/>
        <v>0.18796992481203006</v>
      </c>
      <c r="AK42" s="114">
        <f t="shared" si="50"/>
        <v>2.0676691729323307</v>
      </c>
      <c r="AL42" s="114">
        <f t="shared" si="50"/>
        <v>1.8796992481203008</v>
      </c>
      <c r="AM42" s="114">
        <f t="shared" si="50"/>
        <v>5.8270676691729317</v>
      </c>
      <c r="AN42" s="114">
        <f t="shared" si="50"/>
        <v>6.3909774436090219</v>
      </c>
      <c r="AO42" s="114">
        <f t="shared" si="50"/>
        <v>0.37593984962406013</v>
      </c>
      <c r="AP42" s="114">
        <f t="shared" si="50"/>
        <v>0.18796992481203006</v>
      </c>
      <c r="AQ42" s="114">
        <f t="shared" si="50"/>
        <v>0.37593984962406013</v>
      </c>
      <c r="AR42" s="114">
        <f t="shared" si="50"/>
        <v>0.37593984962406013</v>
      </c>
      <c r="AS42" s="111" t="s">
        <v>38</v>
      </c>
      <c r="AT42" s="115">
        <v>131</v>
      </c>
      <c r="AU42" s="116">
        <v>24.624060150375939</v>
      </c>
      <c r="AV42" s="117">
        <f t="shared" si="20"/>
        <v>144</v>
      </c>
      <c r="AW42" s="116">
        <f t="shared" si="21"/>
        <v>27.067669172932327</v>
      </c>
      <c r="AX42" s="117">
        <v>257</v>
      </c>
      <c r="AY42" s="116">
        <f t="shared" si="22"/>
        <v>48.308270676691741</v>
      </c>
      <c r="AZ42" s="117">
        <v>67</v>
      </c>
      <c r="BA42" s="116">
        <f t="shared" si="23"/>
        <v>12.593984962406015</v>
      </c>
    </row>
    <row r="43" spans="1:53" s="112" customFormat="1">
      <c r="A43" s="111" t="s">
        <v>39</v>
      </c>
      <c r="B43" s="112">
        <v>1737</v>
      </c>
      <c r="C43" s="113">
        <f t="shared" si="18"/>
        <v>1712</v>
      </c>
      <c r="D43" s="112">
        <v>58</v>
      </c>
      <c r="E43" s="112">
        <v>110</v>
      </c>
      <c r="F43" s="112">
        <v>143</v>
      </c>
      <c r="G43" s="112">
        <v>46</v>
      </c>
      <c r="H43" s="112">
        <v>7</v>
      </c>
      <c r="I43" s="112">
        <v>212</v>
      </c>
      <c r="J43" s="112">
        <v>298</v>
      </c>
      <c r="K43" s="112">
        <v>126</v>
      </c>
      <c r="L43" s="112">
        <v>207</v>
      </c>
      <c r="M43" s="112">
        <v>3</v>
      </c>
      <c r="N43" s="112">
        <v>24</v>
      </c>
      <c r="O43" s="112">
        <v>0</v>
      </c>
      <c r="P43" s="112">
        <v>64</v>
      </c>
      <c r="Q43" s="112">
        <v>57</v>
      </c>
      <c r="R43" s="112">
        <v>139</v>
      </c>
      <c r="S43" s="112">
        <v>94</v>
      </c>
      <c r="T43" s="112">
        <v>47</v>
      </c>
      <c r="U43" s="112">
        <v>16</v>
      </c>
      <c r="V43" s="112">
        <v>34</v>
      </c>
      <c r="W43" s="112">
        <v>27</v>
      </c>
      <c r="Y43" s="114">
        <f t="shared" ref="Y43:AR43" si="51">(D43/1712)*100</f>
        <v>3.3878504672897192</v>
      </c>
      <c r="Z43" s="114">
        <f t="shared" si="51"/>
        <v>6.4252336448598122</v>
      </c>
      <c r="AA43" s="114">
        <f t="shared" si="51"/>
        <v>8.3528037383177569</v>
      </c>
      <c r="AB43" s="114">
        <f t="shared" si="51"/>
        <v>2.6869158878504673</v>
      </c>
      <c r="AC43" s="114">
        <f t="shared" si="51"/>
        <v>0.40887850467289716</v>
      </c>
      <c r="AD43" s="114">
        <f t="shared" si="51"/>
        <v>12.383177570093459</v>
      </c>
      <c r="AE43" s="114">
        <f t="shared" si="51"/>
        <v>17.406542056074766</v>
      </c>
      <c r="AF43" s="114">
        <f t="shared" si="51"/>
        <v>7.3598130841121492</v>
      </c>
      <c r="AG43" s="114">
        <f t="shared" si="51"/>
        <v>12.091121495327103</v>
      </c>
      <c r="AH43" s="114">
        <f t="shared" si="51"/>
        <v>0.17523364485981308</v>
      </c>
      <c r="AI43" s="114">
        <f t="shared" si="51"/>
        <v>1.4018691588785046</v>
      </c>
      <c r="AJ43" s="114">
        <f t="shared" si="51"/>
        <v>0</v>
      </c>
      <c r="AK43" s="114">
        <f t="shared" si="51"/>
        <v>3.7383177570093453</v>
      </c>
      <c r="AL43" s="114">
        <f t="shared" si="51"/>
        <v>3.3294392523364484</v>
      </c>
      <c r="AM43" s="114">
        <f t="shared" si="51"/>
        <v>8.119158878504674</v>
      </c>
      <c r="AN43" s="114">
        <f t="shared" si="51"/>
        <v>5.490654205607477</v>
      </c>
      <c r="AO43" s="114">
        <f t="shared" si="51"/>
        <v>2.7453271028037385</v>
      </c>
      <c r="AP43" s="114">
        <f t="shared" si="51"/>
        <v>0.93457943925233633</v>
      </c>
      <c r="AQ43" s="114">
        <f t="shared" si="51"/>
        <v>1.9859813084112148</v>
      </c>
      <c r="AR43" s="114">
        <f t="shared" si="51"/>
        <v>1.5771028037383177</v>
      </c>
      <c r="AS43" s="111" t="s">
        <v>39</v>
      </c>
      <c r="AT43" s="115">
        <v>58</v>
      </c>
      <c r="AU43" s="116">
        <v>3.3878504672897192</v>
      </c>
      <c r="AV43" s="117">
        <f t="shared" si="20"/>
        <v>518</v>
      </c>
      <c r="AW43" s="116">
        <f t="shared" si="21"/>
        <v>30.257009345794394</v>
      </c>
      <c r="AX43" s="117">
        <v>1136</v>
      </c>
      <c r="AY43" s="116">
        <f t="shared" si="22"/>
        <v>66.355140186915889</v>
      </c>
      <c r="AZ43" s="117">
        <v>280</v>
      </c>
      <c r="BA43" s="116">
        <f t="shared" si="23"/>
        <v>16.355140186915889</v>
      </c>
    </row>
    <row r="44" spans="1:53" s="112" customFormat="1">
      <c r="A44" s="111" t="s">
        <v>40</v>
      </c>
      <c r="B44" s="112">
        <v>4943</v>
      </c>
      <c r="C44" s="113">
        <f t="shared" si="18"/>
        <v>4909</v>
      </c>
      <c r="D44" s="112">
        <v>135</v>
      </c>
      <c r="E44" s="112">
        <v>1</v>
      </c>
      <c r="F44" s="112">
        <v>137</v>
      </c>
      <c r="G44" s="112">
        <v>37</v>
      </c>
      <c r="H44" s="112">
        <v>52</v>
      </c>
      <c r="I44" s="112">
        <v>778</v>
      </c>
      <c r="J44" s="112">
        <v>886</v>
      </c>
      <c r="K44" s="112">
        <v>231</v>
      </c>
      <c r="L44" s="112">
        <v>1499</v>
      </c>
      <c r="M44" s="112">
        <v>2</v>
      </c>
      <c r="N44" s="112">
        <v>62</v>
      </c>
      <c r="O44" s="112">
        <v>2</v>
      </c>
      <c r="P44" s="112">
        <v>141</v>
      </c>
      <c r="Q44" s="112">
        <v>225</v>
      </c>
      <c r="R44" s="112">
        <v>257</v>
      </c>
      <c r="S44" s="112">
        <v>160</v>
      </c>
      <c r="T44" s="112">
        <v>99</v>
      </c>
      <c r="U44" s="112">
        <v>45</v>
      </c>
      <c r="V44" s="112">
        <v>76</v>
      </c>
      <c r="W44" s="112">
        <v>84</v>
      </c>
      <c r="Y44" s="114">
        <f t="shared" ref="Y44:AR44" si="52">(D44/4909)*100</f>
        <v>2.7500509268690161</v>
      </c>
      <c r="Z44" s="114">
        <f t="shared" si="52"/>
        <v>2.0370747606437156E-2</v>
      </c>
      <c r="AA44" s="114">
        <f t="shared" si="52"/>
        <v>2.7907924220818905</v>
      </c>
      <c r="AB44" s="114">
        <f t="shared" si="52"/>
        <v>0.75371766143817487</v>
      </c>
      <c r="AC44" s="114">
        <f t="shared" si="52"/>
        <v>1.0592788755347322</v>
      </c>
      <c r="AD44" s="114">
        <f t="shared" si="52"/>
        <v>15.848441637808108</v>
      </c>
      <c r="AE44" s="114">
        <f t="shared" si="52"/>
        <v>18.048482379303323</v>
      </c>
      <c r="AF44" s="114">
        <f t="shared" si="52"/>
        <v>4.7056426970869838</v>
      </c>
      <c r="AG44" s="114">
        <f t="shared" si="52"/>
        <v>30.535750662049299</v>
      </c>
      <c r="AH44" s="114">
        <f t="shared" si="52"/>
        <v>4.0741495212874311E-2</v>
      </c>
      <c r="AI44" s="114">
        <f t="shared" si="52"/>
        <v>1.2629863515991036</v>
      </c>
      <c r="AJ44" s="114">
        <f t="shared" si="52"/>
        <v>4.0741495212874311E-2</v>
      </c>
      <c r="AK44" s="114">
        <f t="shared" si="52"/>
        <v>2.8722754125076388</v>
      </c>
      <c r="AL44" s="114">
        <f t="shared" si="52"/>
        <v>4.5834182114483601</v>
      </c>
      <c r="AM44" s="114">
        <f t="shared" si="52"/>
        <v>5.2352821348543497</v>
      </c>
      <c r="AN44" s="114">
        <f t="shared" si="52"/>
        <v>3.2593196170299454</v>
      </c>
      <c r="AO44" s="114">
        <f t="shared" si="52"/>
        <v>2.0167040130372786</v>
      </c>
      <c r="AP44" s="114">
        <f t="shared" si="52"/>
        <v>0.91668364228967203</v>
      </c>
      <c r="AQ44" s="114">
        <f t="shared" si="52"/>
        <v>1.5481768180892239</v>
      </c>
      <c r="AR44" s="114">
        <f t="shared" si="52"/>
        <v>1.7111427989407211</v>
      </c>
      <c r="AS44" s="111" t="s">
        <v>40</v>
      </c>
      <c r="AT44" s="115">
        <v>135</v>
      </c>
      <c r="AU44" s="116">
        <v>2.7500509268690161</v>
      </c>
      <c r="AV44" s="117">
        <f t="shared" si="20"/>
        <v>1005</v>
      </c>
      <c r="AW44" s="116">
        <f t="shared" si="21"/>
        <v>20.472601344469343</v>
      </c>
      <c r="AX44" s="117">
        <v>3769</v>
      </c>
      <c r="AY44" s="116">
        <f t="shared" si="22"/>
        <v>76.777347728661653</v>
      </c>
      <c r="AZ44" s="117">
        <v>516</v>
      </c>
      <c r="BA44" s="116">
        <f t="shared" si="23"/>
        <v>10.511305764921573</v>
      </c>
    </row>
    <row r="45" spans="1:53" s="112" customFormat="1">
      <c r="A45" s="111" t="s">
        <v>41</v>
      </c>
      <c r="B45" s="112">
        <v>6101</v>
      </c>
      <c r="C45" s="113">
        <f t="shared" si="18"/>
        <v>6025</v>
      </c>
      <c r="D45" s="112">
        <v>785</v>
      </c>
      <c r="E45" s="112">
        <v>167</v>
      </c>
      <c r="F45" s="112">
        <v>259</v>
      </c>
      <c r="G45" s="112">
        <v>54</v>
      </c>
      <c r="H45" s="112">
        <v>23</v>
      </c>
      <c r="I45" s="112">
        <v>778</v>
      </c>
      <c r="J45" s="112">
        <v>1010</v>
      </c>
      <c r="K45" s="112">
        <v>181</v>
      </c>
      <c r="L45" s="112">
        <v>897</v>
      </c>
      <c r="M45" s="112">
        <v>66</v>
      </c>
      <c r="N45" s="112">
        <v>99</v>
      </c>
      <c r="O45" s="112">
        <v>13</v>
      </c>
      <c r="P45" s="112">
        <v>260</v>
      </c>
      <c r="Q45" s="112">
        <v>133</v>
      </c>
      <c r="R45" s="112">
        <v>415</v>
      </c>
      <c r="S45" s="112">
        <v>453</v>
      </c>
      <c r="T45" s="112">
        <v>200</v>
      </c>
      <c r="U45" s="112">
        <v>65</v>
      </c>
      <c r="V45" s="112">
        <v>129</v>
      </c>
      <c r="W45" s="112">
        <v>38</v>
      </c>
      <c r="Y45" s="114">
        <f t="shared" ref="Y45:AR45" si="53">(D45/6025)*100</f>
        <v>13.029045643153529</v>
      </c>
      <c r="Z45" s="114">
        <f t="shared" si="53"/>
        <v>2.7717842323651452</v>
      </c>
      <c r="AA45" s="114">
        <f t="shared" si="53"/>
        <v>4.2987551867219924</v>
      </c>
      <c r="AB45" s="114">
        <f t="shared" si="53"/>
        <v>0.89626556016597514</v>
      </c>
      <c r="AC45" s="114">
        <f t="shared" si="53"/>
        <v>0.38174273858921159</v>
      </c>
      <c r="AD45" s="114">
        <f t="shared" si="53"/>
        <v>12.912863070539418</v>
      </c>
      <c r="AE45" s="114">
        <f t="shared" si="53"/>
        <v>16.763485477178421</v>
      </c>
      <c r="AF45" s="114">
        <f t="shared" si="53"/>
        <v>3.004149377593361</v>
      </c>
      <c r="AG45" s="114">
        <f t="shared" si="53"/>
        <v>14.887966804979252</v>
      </c>
      <c r="AH45" s="114">
        <f t="shared" si="53"/>
        <v>1.095435684647303</v>
      </c>
      <c r="AI45" s="114">
        <f t="shared" si="53"/>
        <v>1.6431535269709543</v>
      </c>
      <c r="AJ45" s="114">
        <f t="shared" si="53"/>
        <v>0.21576763485477179</v>
      </c>
      <c r="AK45" s="114">
        <f t="shared" si="53"/>
        <v>4.3153526970954355</v>
      </c>
      <c r="AL45" s="114">
        <f t="shared" si="53"/>
        <v>2.2074688796680499</v>
      </c>
      <c r="AM45" s="114">
        <f t="shared" si="53"/>
        <v>6.8879668049792535</v>
      </c>
      <c r="AN45" s="114">
        <f t="shared" si="53"/>
        <v>7.5186721991701244</v>
      </c>
      <c r="AO45" s="114">
        <f t="shared" si="53"/>
        <v>3.3195020746887969</v>
      </c>
      <c r="AP45" s="114">
        <f t="shared" si="53"/>
        <v>1.0788381742738589</v>
      </c>
      <c r="AQ45" s="114">
        <f t="shared" si="53"/>
        <v>2.1410788381742738</v>
      </c>
      <c r="AR45" s="114">
        <f t="shared" si="53"/>
        <v>0.63070539419087135</v>
      </c>
      <c r="AS45" s="111" t="s">
        <v>41</v>
      </c>
      <c r="AT45" s="115">
        <v>785</v>
      </c>
      <c r="AU45" s="116">
        <v>13.029045643153529</v>
      </c>
      <c r="AV45" s="117">
        <f t="shared" si="20"/>
        <v>1281</v>
      </c>
      <c r="AW45" s="116">
        <f t="shared" si="21"/>
        <v>21.261410788381742</v>
      </c>
      <c r="AX45" s="117">
        <v>3959</v>
      </c>
      <c r="AY45" s="116">
        <f t="shared" si="22"/>
        <v>65.709543568464738</v>
      </c>
      <c r="AZ45" s="117">
        <v>1068</v>
      </c>
      <c r="BA45" s="116">
        <f t="shared" si="23"/>
        <v>17.726141078838175</v>
      </c>
    </row>
    <row r="46" spans="1:53" s="112" customFormat="1">
      <c r="A46" s="111" t="s">
        <v>42</v>
      </c>
      <c r="B46" s="112">
        <v>5376</v>
      </c>
      <c r="C46" s="113">
        <f t="shared" si="18"/>
        <v>5331</v>
      </c>
      <c r="D46" s="112">
        <v>338</v>
      </c>
      <c r="E46" s="112">
        <v>28</v>
      </c>
      <c r="F46" s="112">
        <v>241</v>
      </c>
      <c r="G46" s="112">
        <v>58</v>
      </c>
      <c r="H46" s="112">
        <v>44</v>
      </c>
      <c r="I46" s="112">
        <v>992</v>
      </c>
      <c r="J46" s="112">
        <v>945</v>
      </c>
      <c r="K46" s="112">
        <v>191</v>
      </c>
      <c r="L46" s="112">
        <v>994</v>
      </c>
      <c r="M46" s="112">
        <v>30</v>
      </c>
      <c r="N46" s="112">
        <v>73</v>
      </c>
      <c r="O46" s="112">
        <v>14</v>
      </c>
      <c r="P46" s="112">
        <v>234</v>
      </c>
      <c r="Q46" s="112">
        <v>171</v>
      </c>
      <c r="R46" s="112">
        <v>266</v>
      </c>
      <c r="S46" s="112">
        <v>342</v>
      </c>
      <c r="T46" s="112">
        <v>153</v>
      </c>
      <c r="U46" s="112">
        <v>38</v>
      </c>
      <c r="V46" s="112">
        <v>120</v>
      </c>
      <c r="W46" s="112">
        <v>59</v>
      </c>
      <c r="Y46" s="114">
        <f t="shared" ref="Y46:AR46" si="54">(D46/5332)*100</f>
        <v>6.3390847711927973</v>
      </c>
      <c r="Z46" s="114">
        <f t="shared" si="54"/>
        <v>0.5251312828207052</v>
      </c>
      <c r="AA46" s="114">
        <f t="shared" si="54"/>
        <v>4.5198799699924983</v>
      </c>
      <c r="AB46" s="114">
        <f t="shared" si="54"/>
        <v>1.0877719429857464</v>
      </c>
      <c r="AC46" s="114">
        <f t="shared" si="54"/>
        <v>0.82520630157539387</v>
      </c>
      <c r="AD46" s="114">
        <f t="shared" si="54"/>
        <v>18.604651162790699</v>
      </c>
      <c r="AE46" s="114">
        <f t="shared" si="54"/>
        <v>17.7231807951988</v>
      </c>
      <c r="AF46" s="114">
        <f t="shared" si="54"/>
        <v>3.5821455363840959</v>
      </c>
      <c r="AG46" s="114">
        <f t="shared" si="54"/>
        <v>18.642160540135034</v>
      </c>
      <c r="AH46" s="114">
        <f t="shared" si="54"/>
        <v>0.56264066016504122</v>
      </c>
      <c r="AI46" s="114">
        <f t="shared" si="54"/>
        <v>1.3690922730682671</v>
      </c>
      <c r="AJ46" s="114">
        <f t="shared" si="54"/>
        <v>0.2625656414103526</v>
      </c>
      <c r="AK46" s="114">
        <f t="shared" si="54"/>
        <v>4.3885971492873219</v>
      </c>
      <c r="AL46" s="114">
        <f t="shared" si="54"/>
        <v>3.2070517629407354</v>
      </c>
      <c r="AM46" s="114">
        <f t="shared" si="54"/>
        <v>4.988747186796699</v>
      </c>
      <c r="AN46" s="114">
        <f t="shared" si="54"/>
        <v>6.4141035258814707</v>
      </c>
      <c r="AO46" s="114">
        <f t="shared" si="54"/>
        <v>2.8694673668417101</v>
      </c>
      <c r="AP46" s="114">
        <f t="shared" si="54"/>
        <v>0.71267816954238561</v>
      </c>
      <c r="AQ46" s="114">
        <f t="shared" si="54"/>
        <v>2.2505626406601649</v>
      </c>
      <c r="AR46" s="114">
        <f t="shared" si="54"/>
        <v>1.1065266316579145</v>
      </c>
      <c r="AS46" s="111" t="s">
        <v>42</v>
      </c>
      <c r="AT46" s="115">
        <v>338</v>
      </c>
      <c r="AU46" s="116">
        <v>6.3390847711927973</v>
      </c>
      <c r="AV46" s="117">
        <f t="shared" si="20"/>
        <v>1363</v>
      </c>
      <c r="AW46" s="116">
        <f t="shared" si="21"/>
        <v>25.562640660165044</v>
      </c>
      <c r="AX46" s="117">
        <v>3631</v>
      </c>
      <c r="AY46" s="116">
        <f t="shared" si="22"/>
        <v>68.079519879969993</v>
      </c>
      <c r="AZ46" s="117">
        <v>761</v>
      </c>
      <c r="BA46" s="116">
        <f t="shared" si="23"/>
        <v>14.272318079519881</v>
      </c>
    </row>
    <row r="47" spans="1:53" s="112" customFormat="1">
      <c r="A47" s="111" t="s">
        <v>43</v>
      </c>
      <c r="B47" s="112">
        <v>484</v>
      </c>
      <c r="C47" s="113">
        <f t="shared" si="18"/>
        <v>462</v>
      </c>
      <c r="D47" s="112">
        <v>43</v>
      </c>
      <c r="E47" s="112">
        <v>0</v>
      </c>
      <c r="F47" s="112">
        <v>14</v>
      </c>
      <c r="G47" s="112">
        <v>15</v>
      </c>
      <c r="H47" s="112">
        <v>3</v>
      </c>
      <c r="I47" s="112">
        <v>112</v>
      </c>
      <c r="J47" s="112">
        <v>68</v>
      </c>
      <c r="K47" s="112">
        <v>16</v>
      </c>
      <c r="L47" s="112">
        <v>88</v>
      </c>
      <c r="M47" s="112">
        <v>4</v>
      </c>
      <c r="N47" s="112">
        <v>7</v>
      </c>
      <c r="O47" s="112">
        <v>0</v>
      </c>
      <c r="P47" s="112">
        <v>20</v>
      </c>
      <c r="Q47" s="112">
        <v>1</v>
      </c>
      <c r="R47" s="112">
        <v>36</v>
      </c>
      <c r="S47" s="112">
        <v>24</v>
      </c>
      <c r="T47" s="112">
        <v>6</v>
      </c>
      <c r="U47" s="112">
        <v>3</v>
      </c>
      <c r="V47" s="112">
        <v>1</v>
      </c>
      <c r="W47" s="112">
        <v>1</v>
      </c>
      <c r="Y47" s="114">
        <f t="shared" ref="Y47:AR47" si="55">(D47/462)*100</f>
        <v>9.3073593073593077</v>
      </c>
      <c r="Z47" s="114">
        <f t="shared" si="55"/>
        <v>0</v>
      </c>
      <c r="AA47" s="114">
        <f t="shared" si="55"/>
        <v>3.0303030303030303</v>
      </c>
      <c r="AB47" s="114">
        <f t="shared" si="55"/>
        <v>3.2467532467532463</v>
      </c>
      <c r="AC47" s="114">
        <f t="shared" si="55"/>
        <v>0.64935064935064934</v>
      </c>
      <c r="AD47" s="114">
        <f t="shared" si="55"/>
        <v>24.242424242424242</v>
      </c>
      <c r="AE47" s="114">
        <f t="shared" si="55"/>
        <v>14.71861471861472</v>
      </c>
      <c r="AF47" s="114">
        <f t="shared" si="55"/>
        <v>3.4632034632034632</v>
      </c>
      <c r="AG47" s="114">
        <f t="shared" si="55"/>
        <v>19.047619047619047</v>
      </c>
      <c r="AH47" s="114">
        <f t="shared" si="55"/>
        <v>0.86580086580086579</v>
      </c>
      <c r="AI47" s="114">
        <f t="shared" si="55"/>
        <v>1.5151515151515151</v>
      </c>
      <c r="AJ47" s="114">
        <f t="shared" si="55"/>
        <v>0</v>
      </c>
      <c r="AK47" s="114">
        <f t="shared" si="55"/>
        <v>4.329004329004329</v>
      </c>
      <c r="AL47" s="114">
        <f t="shared" si="55"/>
        <v>0.21645021645021645</v>
      </c>
      <c r="AM47" s="114">
        <f t="shared" si="55"/>
        <v>7.7922077922077921</v>
      </c>
      <c r="AN47" s="114">
        <f t="shared" si="55"/>
        <v>5.1948051948051948</v>
      </c>
      <c r="AO47" s="114">
        <f t="shared" si="55"/>
        <v>1.2987012987012987</v>
      </c>
      <c r="AP47" s="114">
        <f t="shared" si="55"/>
        <v>0.64935064935064934</v>
      </c>
      <c r="AQ47" s="114">
        <f t="shared" si="55"/>
        <v>0.21645021645021645</v>
      </c>
      <c r="AR47" s="114">
        <f t="shared" si="55"/>
        <v>0.21645021645021645</v>
      </c>
      <c r="AS47" s="111" t="s">
        <v>43</v>
      </c>
      <c r="AT47" s="115">
        <v>43</v>
      </c>
      <c r="AU47" s="116">
        <v>9.3073593073593077</v>
      </c>
      <c r="AV47" s="117">
        <f t="shared" si="20"/>
        <v>144</v>
      </c>
      <c r="AW47" s="116">
        <f t="shared" si="21"/>
        <v>31.168831168831169</v>
      </c>
      <c r="AX47" s="117">
        <v>275</v>
      </c>
      <c r="AY47" s="116">
        <f t="shared" si="22"/>
        <v>59.523809523809526</v>
      </c>
      <c r="AZ47" s="117">
        <v>66</v>
      </c>
      <c r="BA47" s="116">
        <f t="shared" si="23"/>
        <v>14.285714285714285</v>
      </c>
    </row>
    <row r="48" spans="1:53" s="112" customFormat="1">
      <c r="A48" s="111" t="s">
        <v>44</v>
      </c>
      <c r="B48" s="112">
        <v>103</v>
      </c>
      <c r="C48" s="113">
        <f t="shared" si="18"/>
        <v>96</v>
      </c>
      <c r="D48" s="112">
        <v>24</v>
      </c>
      <c r="E48" s="112">
        <v>0</v>
      </c>
      <c r="F48" s="112">
        <v>1</v>
      </c>
      <c r="G48" s="112">
        <v>0</v>
      </c>
      <c r="H48" s="112">
        <v>0</v>
      </c>
      <c r="I48" s="112">
        <v>26</v>
      </c>
      <c r="J48" s="112">
        <v>4</v>
      </c>
      <c r="K48" s="112">
        <v>0</v>
      </c>
      <c r="L48" s="112">
        <v>22</v>
      </c>
      <c r="M48" s="112">
        <v>0</v>
      </c>
      <c r="N48" s="112">
        <v>0</v>
      </c>
      <c r="O48" s="112">
        <v>0</v>
      </c>
      <c r="P48" s="112">
        <v>0</v>
      </c>
      <c r="Q48" s="112">
        <v>1</v>
      </c>
      <c r="R48" s="112">
        <v>1</v>
      </c>
      <c r="S48" s="112">
        <v>14</v>
      </c>
      <c r="T48" s="112">
        <v>1</v>
      </c>
      <c r="U48" s="112">
        <v>0</v>
      </c>
      <c r="V48" s="112">
        <v>1</v>
      </c>
      <c r="W48" s="112">
        <v>1</v>
      </c>
      <c r="Y48" s="114">
        <f t="shared" ref="Y48:AR48" si="56">(D48/96)*100</f>
        <v>25</v>
      </c>
      <c r="Z48" s="114">
        <f t="shared" si="56"/>
        <v>0</v>
      </c>
      <c r="AA48" s="114">
        <f t="shared" si="56"/>
        <v>1.0416666666666665</v>
      </c>
      <c r="AB48" s="114">
        <f t="shared" si="56"/>
        <v>0</v>
      </c>
      <c r="AC48" s="114">
        <f t="shared" si="56"/>
        <v>0</v>
      </c>
      <c r="AD48" s="114">
        <f t="shared" si="56"/>
        <v>27.083333333333332</v>
      </c>
      <c r="AE48" s="114">
        <f t="shared" si="56"/>
        <v>4.1666666666666661</v>
      </c>
      <c r="AF48" s="114">
        <f t="shared" si="56"/>
        <v>0</v>
      </c>
      <c r="AG48" s="114">
        <f t="shared" si="56"/>
        <v>22.916666666666664</v>
      </c>
      <c r="AH48" s="114">
        <f t="shared" si="56"/>
        <v>0</v>
      </c>
      <c r="AI48" s="114">
        <f t="shared" si="56"/>
        <v>0</v>
      </c>
      <c r="AJ48" s="114">
        <f t="shared" si="56"/>
        <v>0</v>
      </c>
      <c r="AK48" s="114">
        <f t="shared" si="56"/>
        <v>0</v>
      </c>
      <c r="AL48" s="114">
        <f t="shared" si="56"/>
        <v>1.0416666666666665</v>
      </c>
      <c r="AM48" s="114">
        <f t="shared" si="56"/>
        <v>1.0416666666666665</v>
      </c>
      <c r="AN48" s="114">
        <f t="shared" si="56"/>
        <v>14.583333333333334</v>
      </c>
      <c r="AO48" s="114">
        <f t="shared" si="56"/>
        <v>1.0416666666666665</v>
      </c>
      <c r="AP48" s="114">
        <f t="shared" si="56"/>
        <v>0</v>
      </c>
      <c r="AQ48" s="114">
        <f t="shared" si="56"/>
        <v>1.0416666666666665</v>
      </c>
      <c r="AR48" s="114">
        <f t="shared" si="56"/>
        <v>1.0416666666666665</v>
      </c>
      <c r="AS48" s="111" t="s">
        <v>44</v>
      </c>
      <c r="AT48" s="115">
        <v>24</v>
      </c>
      <c r="AU48" s="116">
        <v>25</v>
      </c>
      <c r="AV48" s="117">
        <f t="shared" si="20"/>
        <v>27</v>
      </c>
      <c r="AW48" s="116">
        <f t="shared" si="21"/>
        <v>28.125</v>
      </c>
      <c r="AX48" s="117">
        <v>45</v>
      </c>
      <c r="AY48" s="116">
        <f t="shared" si="22"/>
        <v>46.874999999999993</v>
      </c>
      <c r="AZ48" s="117">
        <v>16</v>
      </c>
      <c r="BA48" s="116">
        <f t="shared" si="23"/>
        <v>16.666666666666668</v>
      </c>
    </row>
    <row r="49" spans="1:53" s="112" customFormat="1">
      <c r="A49" s="111" t="s">
        <v>45</v>
      </c>
      <c r="B49" s="112">
        <v>86</v>
      </c>
      <c r="C49" s="113">
        <f t="shared" si="18"/>
        <v>84</v>
      </c>
      <c r="D49" s="112">
        <v>15</v>
      </c>
      <c r="E49" s="112">
        <v>0</v>
      </c>
      <c r="F49" s="112">
        <v>1</v>
      </c>
      <c r="G49" s="112">
        <v>1</v>
      </c>
      <c r="H49" s="112">
        <v>0</v>
      </c>
      <c r="I49" s="112">
        <v>15</v>
      </c>
      <c r="J49" s="112">
        <v>11</v>
      </c>
      <c r="K49" s="112">
        <v>0</v>
      </c>
      <c r="L49" s="112">
        <v>19</v>
      </c>
      <c r="M49" s="112">
        <v>0</v>
      </c>
      <c r="N49" s="112">
        <v>0</v>
      </c>
      <c r="O49" s="112">
        <v>1</v>
      </c>
      <c r="P49" s="112">
        <v>1</v>
      </c>
      <c r="Q49" s="112">
        <v>1</v>
      </c>
      <c r="R49" s="112">
        <v>5</v>
      </c>
      <c r="S49" s="112">
        <v>11</v>
      </c>
      <c r="T49" s="112">
        <v>1</v>
      </c>
      <c r="U49" s="112">
        <v>1</v>
      </c>
      <c r="V49" s="112">
        <v>1</v>
      </c>
      <c r="W49" s="112">
        <v>0</v>
      </c>
      <c r="Y49" s="114">
        <f t="shared" ref="Y49:AR49" si="57">(D49/84)*100</f>
        <v>17.857142857142858</v>
      </c>
      <c r="Z49" s="114">
        <f t="shared" si="57"/>
        <v>0</v>
      </c>
      <c r="AA49" s="114">
        <f t="shared" si="57"/>
        <v>1.1904761904761905</v>
      </c>
      <c r="AB49" s="114">
        <f t="shared" si="57"/>
        <v>1.1904761904761905</v>
      </c>
      <c r="AC49" s="114">
        <f t="shared" si="57"/>
        <v>0</v>
      </c>
      <c r="AD49" s="114">
        <f t="shared" si="57"/>
        <v>17.857142857142858</v>
      </c>
      <c r="AE49" s="114">
        <f t="shared" si="57"/>
        <v>13.095238095238097</v>
      </c>
      <c r="AF49" s="114">
        <f t="shared" si="57"/>
        <v>0</v>
      </c>
      <c r="AG49" s="114">
        <f t="shared" si="57"/>
        <v>22.61904761904762</v>
      </c>
      <c r="AH49" s="114">
        <f t="shared" si="57"/>
        <v>0</v>
      </c>
      <c r="AI49" s="114">
        <f t="shared" si="57"/>
        <v>0</v>
      </c>
      <c r="AJ49" s="114">
        <f t="shared" si="57"/>
        <v>1.1904761904761905</v>
      </c>
      <c r="AK49" s="114">
        <f t="shared" si="57"/>
        <v>1.1904761904761905</v>
      </c>
      <c r="AL49" s="114">
        <f t="shared" si="57"/>
        <v>1.1904761904761905</v>
      </c>
      <c r="AM49" s="114">
        <f t="shared" si="57"/>
        <v>5.9523809523809517</v>
      </c>
      <c r="AN49" s="114">
        <f t="shared" si="57"/>
        <v>13.095238095238097</v>
      </c>
      <c r="AO49" s="114">
        <f t="shared" si="57"/>
        <v>1.1904761904761905</v>
      </c>
      <c r="AP49" s="114">
        <f t="shared" si="57"/>
        <v>1.1904761904761905</v>
      </c>
      <c r="AQ49" s="114">
        <f t="shared" si="57"/>
        <v>1.1904761904761905</v>
      </c>
      <c r="AR49" s="114">
        <f t="shared" si="57"/>
        <v>0</v>
      </c>
      <c r="AS49" s="111" t="s">
        <v>45</v>
      </c>
      <c r="AT49" s="115">
        <v>15</v>
      </c>
      <c r="AU49" s="116">
        <v>17.857142857142858</v>
      </c>
      <c r="AV49" s="117">
        <f t="shared" si="20"/>
        <v>17</v>
      </c>
      <c r="AW49" s="116">
        <f t="shared" si="21"/>
        <v>20.238095238095237</v>
      </c>
      <c r="AX49" s="117">
        <v>52</v>
      </c>
      <c r="AY49" s="116">
        <f t="shared" si="22"/>
        <v>61.904761904761898</v>
      </c>
      <c r="AZ49" s="117">
        <v>17</v>
      </c>
      <c r="BA49" s="116">
        <f t="shared" si="23"/>
        <v>20.238095238095237</v>
      </c>
    </row>
    <row r="50" spans="1:53" s="112" customFormat="1">
      <c r="A50" s="111" t="s">
        <v>46</v>
      </c>
      <c r="B50" s="112">
        <v>903</v>
      </c>
      <c r="C50" s="113">
        <f t="shared" si="18"/>
        <v>883</v>
      </c>
      <c r="D50" s="112">
        <v>74</v>
      </c>
      <c r="E50" s="112">
        <v>2</v>
      </c>
      <c r="F50" s="112">
        <v>56</v>
      </c>
      <c r="G50" s="112">
        <v>28</v>
      </c>
      <c r="H50" s="112">
        <v>2</v>
      </c>
      <c r="I50" s="112">
        <v>161</v>
      </c>
      <c r="J50" s="112">
        <v>125</v>
      </c>
      <c r="K50" s="112">
        <v>44</v>
      </c>
      <c r="L50" s="112">
        <v>167</v>
      </c>
      <c r="M50" s="112">
        <v>9</v>
      </c>
      <c r="N50" s="112">
        <v>14</v>
      </c>
      <c r="O50" s="112">
        <v>1</v>
      </c>
      <c r="P50" s="112">
        <v>35</v>
      </c>
      <c r="Q50" s="112">
        <v>23</v>
      </c>
      <c r="R50" s="112">
        <v>50</v>
      </c>
      <c r="S50" s="112">
        <v>46</v>
      </c>
      <c r="T50" s="112">
        <v>20</v>
      </c>
      <c r="U50" s="112">
        <v>2</v>
      </c>
      <c r="V50" s="112">
        <v>22</v>
      </c>
      <c r="W50" s="112">
        <v>2</v>
      </c>
      <c r="Y50" s="114">
        <f t="shared" ref="Y50:AR50" si="58">(D50/883)*100</f>
        <v>8.380520951302378</v>
      </c>
      <c r="Z50" s="114">
        <f t="shared" si="58"/>
        <v>0.22650056625141565</v>
      </c>
      <c r="AA50" s="114">
        <f t="shared" si="58"/>
        <v>6.3420158550396373</v>
      </c>
      <c r="AB50" s="114">
        <f t="shared" si="58"/>
        <v>3.1710079275198186</v>
      </c>
      <c r="AC50" s="114">
        <f t="shared" si="58"/>
        <v>0.22650056625141565</v>
      </c>
      <c r="AD50" s="114">
        <f t="shared" si="58"/>
        <v>18.233295583238959</v>
      </c>
      <c r="AE50" s="114">
        <f t="shared" si="58"/>
        <v>14.156285390713478</v>
      </c>
      <c r="AF50" s="114">
        <f t="shared" si="58"/>
        <v>4.9830124575311441</v>
      </c>
      <c r="AG50" s="114">
        <f t="shared" si="58"/>
        <v>18.912797281993203</v>
      </c>
      <c r="AH50" s="114">
        <f t="shared" si="58"/>
        <v>1.0192525481313703</v>
      </c>
      <c r="AI50" s="114">
        <f t="shared" si="58"/>
        <v>1.5855039637599093</v>
      </c>
      <c r="AJ50" s="114">
        <f t="shared" si="58"/>
        <v>0.11325028312570783</v>
      </c>
      <c r="AK50" s="114">
        <f t="shared" si="58"/>
        <v>3.9637599093997737</v>
      </c>
      <c r="AL50" s="114">
        <f t="shared" si="58"/>
        <v>2.6047565118912797</v>
      </c>
      <c r="AM50" s="114">
        <f t="shared" si="58"/>
        <v>5.6625141562853907</v>
      </c>
      <c r="AN50" s="114">
        <f t="shared" si="58"/>
        <v>5.2095130237825593</v>
      </c>
      <c r="AO50" s="114">
        <f t="shared" si="58"/>
        <v>2.2650056625141564</v>
      </c>
      <c r="AP50" s="114">
        <f t="shared" si="58"/>
        <v>0.22650056625141565</v>
      </c>
      <c r="AQ50" s="114">
        <f t="shared" si="58"/>
        <v>2.491506228765572</v>
      </c>
      <c r="AR50" s="114">
        <f t="shared" si="58"/>
        <v>0.22650056625141565</v>
      </c>
      <c r="AS50" s="111" t="s">
        <v>46</v>
      </c>
      <c r="AT50" s="116">
        <v>74</v>
      </c>
      <c r="AU50" s="116">
        <v>8.380520951302378</v>
      </c>
      <c r="AV50" s="117">
        <f t="shared" si="20"/>
        <v>249</v>
      </c>
      <c r="AW50" s="116">
        <f t="shared" si="21"/>
        <v>28.199320498301248</v>
      </c>
      <c r="AX50" s="117">
        <v>560</v>
      </c>
      <c r="AY50" s="116">
        <f t="shared" si="22"/>
        <v>63.420158550396394</v>
      </c>
      <c r="AZ50" s="117">
        <v>116</v>
      </c>
      <c r="BA50" s="116">
        <f t="shared" si="23"/>
        <v>13.137032842582105</v>
      </c>
    </row>
    <row r="51" spans="1:53" s="112" customFormat="1">
      <c r="A51" s="111" t="s">
        <v>47</v>
      </c>
      <c r="B51" s="112">
        <v>7525</v>
      </c>
      <c r="C51" s="113">
        <f t="shared" si="18"/>
        <v>7450</v>
      </c>
      <c r="D51" s="112">
        <v>208</v>
      </c>
      <c r="E51" s="112">
        <v>2</v>
      </c>
      <c r="F51" s="112">
        <v>652</v>
      </c>
      <c r="G51" s="112">
        <v>90</v>
      </c>
      <c r="H51" s="112">
        <v>19</v>
      </c>
      <c r="I51" s="112">
        <v>736</v>
      </c>
      <c r="J51" s="112">
        <v>1408</v>
      </c>
      <c r="K51" s="112">
        <v>418</v>
      </c>
      <c r="L51" s="112">
        <v>836</v>
      </c>
      <c r="M51" s="112">
        <v>120</v>
      </c>
      <c r="N51" s="112">
        <v>106</v>
      </c>
      <c r="O51" s="112">
        <v>8</v>
      </c>
      <c r="P51" s="112">
        <v>363</v>
      </c>
      <c r="Q51" s="112">
        <v>158</v>
      </c>
      <c r="R51" s="112">
        <v>910</v>
      </c>
      <c r="S51" s="112">
        <v>604</v>
      </c>
      <c r="T51" s="112">
        <v>467</v>
      </c>
      <c r="U51" s="112">
        <v>125</v>
      </c>
      <c r="V51" s="112">
        <v>160</v>
      </c>
      <c r="W51" s="112">
        <v>60</v>
      </c>
      <c r="Y51" s="114">
        <f t="shared" ref="Y51:AR51" si="59">(D51/7450)*100</f>
        <v>2.7919463087248322</v>
      </c>
      <c r="Z51" s="114">
        <f t="shared" si="59"/>
        <v>2.6845637583892613E-2</v>
      </c>
      <c r="AA51" s="114">
        <f t="shared" si="59"/>
        <v>8.751677852348994</v>
      </c>
      <c r="AB51" s="114">
        <f t="shared" si="59"/>
        <v>1.2080536912751678</v>
      </c>
      <c r="AC51" s="114">
        <f t="shared" si="59"/>
        <v>0.25503355704697983</v>
      </c>
      <c r="AD51" s="114">
        <f t="shared" si="59"/>
        <v>9.8791946308724832</v>
      </c>
      <c r="AE51" s="114">
        <f t="shared" si="59"/>
        <v>18.8993288590604</v>
      </c>
      <c r="AF51" s="114">
        <f t="shared" si="59"/>
        <v>5.6107382550335574</v>
      </c>
      <c r="AG51" s="114">
        <f t="shared" si="59"/>
        <v>11.221476510067115</v>
      </c>
      <c r="AH51" s="114">
        <f t="shared" si="59"/>
        <v>1.6107382550335572</v>
      </c>
      <c r="AI51" s="114">
        <f t="shared" si="59"/>
        <v>1.4228187919463087</v>
      </c>
      <c r="AJ51" s="114">
        <f t="shared" si="59"/>
        <v>0.10738255033557045</v>
      </c>
      <c r="AK51" s="114">
        <f t="shared" si="59"/>
        <v>4.8724832214765099</v>
      </c>
      <c r="AL51" s="114">
        <f t="shared" si="59"/>
        <v>2.1208053691275168</v>
      </c>
      <c r="AM51" s="114">
        <f t="shared" si="59"/>
        <v>12.214765100671141</v>
      </c>
      <c r="AN51" s="114">
        <f t="shared" si="59"/>
        <v>8.1073825503355703</v>
      </c>
      <c r="AO51" s="114">
        <f t="shared" si="59"/>
        <v>6.2684563758389267</v>
      </c>
      <c r="AP51" s="114">
        <f t="shared" si="59"/>
        <v>1.6778523489932886</v>
      </c>
      <c r="AQ51" s="114">
        <f t="shared" si="59"/>
        <v>2.1476510067114094</v>
      </c>
      <c r="AR51" s="114">
        <f t="shared" si="59"/>
        <v>0.80536912751677858</v>
      </c>
      <c r="AS51" s="111" t="s">
        <v>47</v>
      </c>
      <c r="AT51" s="115">
        <v>208</v>
      </c>
      <c r="AU51" s="116">
        <v>2.7919463087248322</v>
      </c>
      <c r="AV51" s="117">
        <f t="shared" si="20"/>
        <v>1499</v>
      </c>
      <c r="AW51" s="116">
        <f t="shared" si="21"/>
        <v>20.120805369127517</v>
      </c>
      <c r="AX51" s="117">
        <v>5743</v>
      </c>
      <c r="AY51" s="116">
        <f t="shared" si="22"/>
        <v>77.087248322147644</v>
      </c>
      <c r="AZ51" s="117">
        <v>1981</v>
      </c>
      <c r="BA51" s="116">
        <f t="shared" si="23"/>
        <v>26.590604026845636</v>
      </c>
    </row>
    <row r="52" spans="1:53" s="112" customFormat="1">
      <c r="A52" s="111" t="s">
        <v>48</v>
      </c>
      <c r="B52" s="112">
        <v>3149</v>
      </c>
      <c r="C52" s="113">
        <f t="shared" si="18"/>
        <v>2832</v>
      </c>
      <c r="D52" s="112">
        <v>223</v>
      </c>
      <c r="E52" s="112">
        <v>4</v>
      </c>
      <c r="F52" s="112">
        <v>182</v>
      </c>
      <c r="G52" s="112">
        <v>22</v>
      </c>
      <c r="H52" s="112">
        <v>6</v>
      </c>
      <c r="I52" s="112">
        <v>593</v>
      </c>
      <c r="J52" s="112">
        <v>605</v>
      </c>
      <c r="K52" s="112">
        <v>31</v>
      </c>
      <c r="L52" s="112">
        <v>489</v>
      </c>
      <c r="M52" s="112">
        <v>14</v>
      </c>
      <c r="N52" s="112">
        <v>17</v>
      </c>
      <c r="O52" s="112">
        <v>6</v>
      </c>
      <c r="P52" s="112">
        <v>31</v>
      </c>
      <c r="Q52" s="112">
        <v>52</v>
      </c>
      <c r="R52" s="112">
        <v>191</v>
      </c>
      <c r="S52" s="112">
        <v>181</v>
      </c>
      <c r="T52" s="112">
        <v>99</v>
      </c>
      <c r="U52" s="112">
        <v>62</v>
      </c>
      <c r="V52" s="112">
        <v>15</v>
      </c>
      <c r="W52" s="112">
        <v>9</v>
      </c>
      <c r="Y52" s="114">
        <f t="shared" ref="Y52:AR52" si="60">(D52/2832)*100</f>
        <v>7.8742937853107344</v>
      </c>
      <c r="Z52" s="114">
        <f t="shared" si="60"/>
        <v>0.14124293785310735</v>
      </c>
      <c r="AA52" s="114">
        <f t="shared" si="60"/>
        <v>6.426553672316385</v>
      </c>
      <c r="AB52" s="114">
        <f t="shared" si="60"/>
        <v>0.7768361581920904</v>
      </c>
      <c r="AC52" s="114">
        <f t="shared" si="60"/>
        <v>0.21186440677966101</v>
      </c>
      <c r="AD52" s="114">
        <f t="shared" si="60"/>
        <v>20.939265536723166</v>
      </c>
      <c r="AE52" s="114">
        <f t="shared" si="60"/>
        <v>21.362994350282484</v>
      </c>
      <c r="AF52" s="114">
        <f t="shared" si="60"/>
        <v>1.094632768361582</v>
      </c>
      <c r="AG52" s="114">
        <f t="shared" si="60"/>
        <v>17.266949152542374</v>
      </c>
      <c r="AH52" s="114">
        <f t="shared" si="60"/>
        <v>0.49435028248587576</v>
      </c>
      <c r="AI52" s="114">
        <f t="shared" si="60"/>
        <v>0.60028248587570621</v>
      </c>
      <c r="AJ52" s="114">
        <f t="shared" si="60"/>
        <v>0.21186440677966101</v>
      </c>
      <c r="AK52" s="114">
        <f t="shared" si="60"/>
        <v>1.094632768361582</v>
      </c>
      <c r="AL52" s="114">
        <f t="shared" si="60"/>
        <v>1.8361581920903955</v>
      </c>
      <c r="AM52" s="114">
        <f t="shared" si="60"/>
        <v>6.7443502824858754</v>
      </c>
      <c r="AN52" s="114">
        <f t="shared" si="60"/>
        <v>6.3912429378531073</v>
      </c>
      <c r="AO52" s="114">
        <f t="shared" si="60"/>
        <v>3.4957627118644066</v>
      </c>
      <c r="AP52" s="114">
        <f t="shared" si="60"/>
        <v>2.1892655367231639</v>
      </c>
      <c r="AQ52" s="114">
        <f t="shared" si="60"/>
        <v>0.52966101694915246</v>
      </c>
      <c r="AR52" s="114">
        <f t="shared" si="60"/>
        <v>0.31779661016949157</v>
      </c>
      <c r="AS52" s="111" t="s">
        <v>48</v>
      </c>
      <c r="AT52" s="115">
        <v>223</v>
      </c>
      <c r="AU52" s="116">
        <v>7.8742937853107344</v>
      </c>
      <c r="AV52" s="117">
        <f t="shared" si="20"/>
        <v>807</v>
      </c>
      <c r="AW52" s="116">
        <f t="shared" si="21"/>
        <v>28.495762711864408</v>
      </c>
      <c r="AX52" s="117">
        <v>1802</v>
      </c>
      <c r="AY52" s="116">
        <f t="shared" si="22"/>
        <v>63.629943502824865</v>
      </c>
      <c r="AZ52" s="117">
        <v>471</v>
      </c>
      <c r="BA52" s="116">
        <f t="shared" si="23"/>
        <v>16.631355932203391</v>
      </c>
    </row>
    <row r="53" spans="1:53" s="112" customFormat="1">
      <c r="A53" s="111" t="s">
        <v>49</v>
      </c>
      <c r="B53" s="112">
        <v>314</v>
      </c>
      <c r="C53" s="113">
        <f t="shared" si="18"/>
        <v>298</v>
      </c>
      <c r="D53" s="112">
        <v>35</v>
      </c>
      <c r="E53" s="112">
        <v>0</v>
      </c>
      <c r="F53" s="112">
        <v>7</v>
      </c>
      <c r="G53" s="112">
        <v>1</v>
      </c>
      <c r="H53" s="112">
        <v>2</v>
      </c>
      <c r="I53" s="112">
        <v>61</v>
      </c>
      <c r="J53" s="112">
        <v>38</v>
      </c>
      <c r="K53" s="112">
        <v>2</v>
      </c>
      <c r="L53" s="112">
        <v>102</v>
      </c>
      <c r="M53" s="112">
        <v>1</v>
      </c>
      <c r="N53" s="112">
        <v>0</v>
      </c>
      <c r="O53" s="112">
        <v>0</v>
      </c>
      <c r="P53" s="112">
        <v>2</v>
      </c>
      <c r="Q53" s="112">
        <v>6</v>
      </c>
      <c r="R53" s="112">
        <v>14</v>
      </c>
      <c r="S53" s="112">
        <v>19</v>
      </c>
      <c r="T53" s="112">
        <v>2</v>
      </c>
      <c r="U53" s="112">
        <v>3</v>
      </c>
      <c r="V53" s="112">
        <v>2</v>
      </c>
      <c r="W53" s="112">
        <v>1</v>
      </c>
      <c r="Y53" s="114">
        <f t="shared" ref="Y53:AR53" si="61">(D53/298)*100</f>
        <v>11.74496644295302</v>
      </c>
      <c r="Z53" s="114">
        <f t="shared" si="61"/>
        <v>0</v>
      </c>
      <c r="AA53" s="114">
        <f t="shared" si="61"/>
        <v>2.348993288590604</v>
      </c>
      <c r="AB53" s="114">
        <f t="shared" si="61"/>
        <v>0.33557046979865773</v>
      </c>
      <c r="AC53" s="114">
        <f t="shared" si="61"/>
        <v>0.67114093959731547</v>
      </c>
      <c r="AD53" s="114">
        <f t="shared" si="61"/>
        <v>20.469798657718123</v>
      </c>
      <c r="AE53" s="114">
        <f t="shared" si="61"/>
        <v>12.751677852348994</v>
      </c>
      <c r="AF53" s="114">
        <f t="shared" si="61"/>
        <v>0.67114093959731547</v>
      </c>
      <c r="AG53" s="114">
        <f t="shared" si="61"/>
        <v>34.228187919463089</v>
      </c>
      <c r="AH53" s="114">
        <f t="shared" si="61"/>
        <v>0.33557046979865773</v>
      </c>
      <c r="AI53" s="114">
        <f t="shared" si="61"/>
        <v>0</v>
      </c>
      <c r="AJ53" s="114">
        <f t="shared" si="61"/>
        <v>0</v>
      </c>
      <c r="AK53" s="114">
        <f t="shared" si="61"/>
        <v>0.67114093959731547</v>
      </c>
      <c r="AL53" s="114">
        <f t="shared" si="61"/>
        <v>2.0134228187919461</v>
      </c>
      <c r="AM53" s="114">
        <f t="shared" si="61"/>
        <v>4.6979865771812079</v>
      </c>
      <c r="AN53" s="114">
        <f t="shared" si="61"/>
        <v>6.375838926174497</v>
      </c>
      <c r="AO53" s="114">
        <f t="shared" si="61"/>
        <v>0.67114093959731547</v>
      </c>
      <c r="AP53" s="114">
        <f t="shared" si="61"/>
        <v>1.006711409395973</v>
      </c>
      <c r="AQ53" s="114">
        <f t="shared" si="61"/>
        <v>0.67114093959731547</v>
      </c>
      <c r="AR53" s="114">
        <f t="shared" si="61"/>
        <v>0.33557046979865773</v>
      </c>
      <c r="AS53" s="111" t="s">
        <v>49</v>
      </c>
      <c r="AT53" s="115">
        <v>35</v>
      </c>
      <c r="AU53" s="116">
        <v>11.74496644295302</v>
      </c>
      <c r="AV53" s="117">
        <f t="shared" si="20"/>
        <v>71</v>
      </c>
      <c r="AW53" s="116">
        <f t="shared" si="21"/>
        <v>23.825503355704701</v>
      </c>
      <c r="AX53" s="117">
        <v>192</v>
      </c>
      <c r="AY53" s="116">
        <f t="shared" si="22"/>
        <v>64.429530201342274</v>
      </c>
      <c r="AZ53" s="117">
        <v>35</v>
      </c>
      <c r="BA53" s="116">
        <f t="shared" si="23"/>
        <v>11.74496644295302</v>
      </c>
    </row>
    <row r="54" spans="1:53" s="112" customFormat="1">
      <c r="A54" s="122" t="s">
        <v>129</v>
      </c>
      <c r="B54" s="112">
        <v>185261</v>
      </c>
      <c r="C54" s="112">
        <v>180921</v>
      </c>
      <c r="D54" s="112">
        <v>15036</v>
      </c>
      <c r="E54" s="112">
        <v>470</v>
      </c>
      <c r="F54" s="112">
        <v>8113</v>
      </c>
      <c r="G54" s="112">
        <v>1415</v>
      </c>
      <c r="H54" s="112">
        <v>843</v>
      </c>
      <c r="I54" s="112">
        <v>18328</v>
      </c>
      <c r="J54" s="112">
        <v>29250</v>
      </c>
      <c r="K54" s="112">
        <v>9119</v>
      </c>
      <c r="L54" s="112">
        <v>34683</v>
      </c>
      <c r="M54" s="112">
        <v>1465</v>
      </c>
      <c r="N54" s="112">
        <v>2227</v>
      </c>
      <c r="O54" s="112">
        <v>177</v>
      </c>
      <c r="P54" s="112">
        <v>6132</v>
      </c>
      <c r="Q54" s="112">
        <v>4881</v>
      </c>
      <c r="R54" s="112">
        <v>22586</v>
      </c>
      <c r="S54" s="112">
        <v>12429</v>
      </c>
      <c r="T54" s="112">
        <v>8078</v>
      </c>
      <c r="U54" s="112">
        <v>1788</v>
      </c>
      <c r="V54" s="112">
        <v>2832</v>
      </c>
      <c r="W54" s="112">
        <v>1063</v>
      </c>
      <c r="Y54" s="114">
        <v>8.3398505749039042</v>
      </c>
      <c r="Z54" s="114">
        <v>0.26068966282288081</v>
      </c>
      <c r="AA54" s="114">
        <v>4.4999473074085783</v>
      </c>
      <c r="AB54" s="114">
        <v>0.78484228275399215</v>
      </c>
      <c r="AC54" s="114">
        <v>0.46757741650997559</v>
      </c>
      <c r="AD54" s="114">
        <v>10.165787532378211</v>
      </c>
      <c r="AE54" s="114">
        <v>16.223771569296304</v>
      </c>
      <c r="AF54" s="114">
        <v>5.0579341176209578</v>
      </c>
      <c r="AG54" s="114">
        <v>19.237233139757393</v>
      </c>
      <c r="AH54" s="114">
        <v>0.81257522560749007</v>
      </c>
      <c r="AI54" s="114">
        <v>1.2352252746947989</v>
      </c>
      <c r="AJ54" s="114">
        <v>9.8174617701382749E-2</v>
      </c>
      <c r="AK54" s="114">
        <v>3.4011681115529893</v>
      </c>
      <c r="AL54" s="114">
        <v>2.7072898813584705</v>
      </c>
      <c r="AM54" s="114">
        <v>12.527524945782098</v>
      </c>
      <c r="AN54" s="114">
        <v>6.8938549345225226</v>
      </c>
      <c r="AO54" s="114">
        <v>4.4805342474111294</v>
      </c>
      <c r="AP54" s="114">
        <v>0.99173003644108704</v>
      </c>
      <c r="AQ54" s="114">
        <v>1.570793883222124</v>
      </c>
      <c r="AR54" s="114">
        <v>0.58960236506536656</v>
      </c>
      <c r="AS54" s="111" t="s">
        <v>129</v>
      </c>
      <c r="AT54" s="115">
        <v>15036</v>
      </c>
      <c r="AU54" s="116">
        <v>8.3108096904173649</v>
      </c>
      <c r="AV54" s="117">
        <v>29169</v>
      </c>
      <c r="AW54" s="116">
        <v>16.122506508365532</v>
      </c>
      <c r="AX54" s="117">
        <v>136716</v>
      </c>
      <c r="AY54" s="116">
        <v>75.56668380121711</v>
      </c>
      <c r="AZ54" s="117">
        <v>43093</v>
      </c>
      <c r="BA54" s="116">
        <v>23.818683292707867</v>
      </c>
    </row>
    <row r="55" spans="1:53">
      <c r="A55" s="85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85"/>
      <c r="AT55" s="7"/>
      <c r="AU55" s="69"/>
      <c r="AV55" s="54"/>
      <c r="AW55" s="69"/>
      <c r="AX55" s="54"/>
      <c r="AY55" s="69"/>
      <c r="AZ55" s="54"/>
      <c r="BA55" s="69"/>
    </row>
    <row r="56" spans="1:53">
      <c r="A56" s="2" t="s">
        <v>251</v>
      </c>
    </row>
    <row r="57" spans="1:53">
      <c r="B57" s="8" t="s">
        <v>196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 t="s">
        <v>125</v>
      </c>
      <c r="N57" s="8"/>
      <c r="O57" s="8"/>
      <c r="P57" s="8"/>
      <c r="Q57" s="8"/>
      <c r="R57" s="8"/>
      <c r="S57" s="8"/>
      <c r="T57" s="8"/>
      <c r="U57" s="8"/>
      <c r="W57" s="256" t="s">
        <v>127</v>
      </c>
      <c r="X57" s="256"/>
      <c r="Y57" s="256"/>
      <c r="Z57" s="256"/>
      <c r="AA57" s="256"/>
      <c r="AB57" s="256"/>
      <c r="AC57" s="256"/>
      <c r="AD57" s="256"/>
    </row>
    <row r="58" spans="1:53" ht="123.75">
      <c r="A58" s="56" t="s">
        <v>167</v>
      </c>
      <c r="B58" s="91" t="s">
        <v>221</v>
      </c>
      <c r="C58" s="267" t="s">
        <v>227</v>
      </c>
      <c r="D58" s="86" t="s">
        <v>222</v>
      </c>
      <c r="E58" s="86" t="s">
        <v>143</v>
      </c>
      <c r="F58" s="86" t="s">
        <v>229</v>
      </c>
      <c r="G58" s="86" t="s">
        <v>147</v>
      </c>
      <c r="H58" s="86" t="s">
        <v>223</v>
      </c>
      <c r="I58" s="86" t="s">
        <v>149</v>
      </c>
      <c r="J58" s="86" t="s">
        <v>224</v>
      </c>
      <c r="K58" s="86" t="s">
        <v>225</v>
      </c>
      <c r="L58" s="86" t="s">
        <v>226</v>
      </c>
      <c r="M58" s="56" t="s">
        <v>167</v>
      </c>
      <c r="N58" s="92" t="s">
        <v>227</v>
      </c>
      <c r="O58" s="86" t="s">
        <v>222</v>
      </c>
      <c r="P58" s="86" t="s">
        <v>143</v>
      </c>
      <c r="Q58" s="86" t="s">
        <v>228</v>
      </c>
      <c r="R58" s="86" t="s">
        <v>147</v>
      </c>
      <c r="S58" s="86" t="s">
        <v>223</v>
      </c>
      <c r="T58" s="86" t="s">
        <v>149</v>
      </c>
      <c r="U58" s="86" t="s">
        <v>224</v>
      </c>
      <c r="V58" s="86" t="s">
        <v>225</v>
      </c>
      <c r="W58" s="86" t="s">
        <v>226</v>
      </c>
      <c r="X58" s="56" t="s">
        <v>167</v>
      </c>
      <c r="Y58" s="94" t="s">
        <v>89</v>
      </c>
      <c r="Z58" s="94" t="s">
        <v>109</v>
      </c>
      <c r="AA58" s="95" t="s">
        <v>110</v>
      </c>
      <c r="AB58" s="94" t="s">
        <v>111</v>
      </c>
      <c r="AC58" s="95" t="s">
        <v>112</v>
      </c>
      <c r="AD58" s="94" t="s">
        <v>113</v>
      </c>
      <c r="AE58" s="95" t="s">
        <v>114</v>
      </c>
      <c r="AF58" s="94" t="s">
        <v>115</v>
      </c>
    </row>
    <row r="59" spans="1:53">
      <c r="A59" s="96" t="s">
        <v>168</v>
      </c>
      <c r="B59" s="89">
        <v>4146049.8350983253</v>
      </c>
      <c r="C59" s="87">
        <v>462614.408</v>
      </c>
      <c r="D59" s="87">
        <v>388470.24005082919</v>
      </c>
      <c r="E59" s="87">
        <v>202180.00000000003</v>
      </c>
      <c r="F59" s="87">
        <v>1384045</v>
      </c>
      <c r="G59" s="87">
        <v>87688.09113988321</v>
      </c>
      <c r="H59" s="87">
        <v>81217.000000000015</v>
      </c>
      <c r="I59" s="87">
        <v>8366</v>
      </c>
      <c r="J59" s="87">
        <v>355991.99999999994</v>
      </c>
      <c r="K59" s="87">
        <v>889581</v>
      </c>
      <c r="L59" s="87">
        <v>285896.09590761294</v>
      </c>
      <c r="M59" s="96" t="s">
        <v>168</v>
      </c>
      <c r="N59" s="93">
        <f>(C59/B59)*100</f>
        <v>11.157955798884625</v>
      </c>
      <c r="O59" s="93">
        <f>(D59/B59)*100</f>
        <v>9.3696471461158026</v>
      </c>
      <c r="P59" s="93">
        <f>(E59/B59)*100</f>
        <v>4.8764488619612854</v>
      </c>
      <c r="Q59" s="93">
        <f>(F59/B59)*100</f>
        <v>33.382256727436967</v>
      </c>
      <c r="R59" s="93">
        <f>(G59/B59)*100</f>
        <v>2.1149791880830984</v>
      </c>
      <c r="S59" s="93">
        <f>(H59/B59)*100</f>
        <v>1.9589007182802936</v>
      </c>
      <c r="T59" s="93">
        <f>(I59/B59)*100</f>
        <v>0.20178242743677963</v>
      </c>
      <c r="U59" s="93">
        <f>(J59/B59)*100</f>
        <v>8.5862933191577859</v>
      </c>
      <c r="V59" s="93">
        <f>(L59/B59)*100</f>
        <v>6.8956261327918362</v>
      </c>
      <c r="W59" s="93">
        <f>(L59/B59)*100</f>
        <v>6.8956261327918362</v>
      </c>
      <c r="X59" s="96" t="s">
        <v>168</v>
      </c>
      <c r="Y59" s="97">
        <f>C59</f>
        <v>462614.408</v>
      </c>
      <c r="Z59" s="6">
        <f>N59</f>
        <v>11.157955798884625</v>
      </c>
      <c r="AA59" s="97">
        <f>D59+E59</f>
        <v>590650.24005082925</v>
      </c>
      <c r="AB59" s="6">
        <f>SUM(O59:P59)</f>
        <v>14.246096008077089</v>
      </c>
      <c r="AC59" s="97">
        <f>SUM(F59:L59)</f>
        <v>3092785.1870474964</v>
      </c>
      <c r="AD59" s="6">
        <f>SUM(Q59:W59)</f>
        <v>60.035464645978593</v>
      </c>
      <c r="AE59" s="97">
        <f>K59</f>
        <v>889581</v>
      </c>
      <c r="AF59" s="6">
        <f>V59</f>
        <v>6.8956261327918362</v>
      </c>
    </row>
    <row r="60" spans="1:53">
      <c r="A60" s="98" t="s">
        <v>169</v>
      </c>
      <c r="B60" s="90">
        <v>83057.158350786704</v>
      </c>
      <c r="C60" s="88">
        <v>9252.240302883778</v>
      </c>
      <c r="D60" s="88">
        <v>3615.8960317065262</v>
      </c>
      <c r="E60" s="88">
        <v>5970.5490822906504</v>
      </c>
      <c r="F60" s="88">
        <v>38393.543212102653</v>
      </c>
      <c r="G60" s="88">
        <v>671.26837874412399</v>
      </c>
      <c r="H60" s="88">
        <v>912.80427844514622</v>
      </c>
      <c r="I60" s="88">
        <v>135.78535231472296</v>
      </c>
      <c r="J60" s="88">
        <v>6017.9495040109068</v>
      </c>
      <c r="K60" s="88">
        <v>13375.159918969866</v>
      </c>
      <c r="L60" s="88">
        <v>4711.9622893183387</v>
      </c>
      <c r="M60" s="98" t="s">
        <v>169</v>
      </c>
      <c r="N60" s="93">
        <f t="shared" ref="N60:N63" si="62">(C60/B60)*100</f>
        <v>11.139606129802226</v>
      </c>
      <c r="O60" s="93">
        <f t="shared" ref="O60:O63" si="63">(D60/B60)*100</f>
        <v>4.3535031820316021</v>
      </c>
      <c r="P60" s="93">
        <f t="shared" ref="P60:P63" si="64">(E60/B60)*100</f>
        <v>7.1884822462555373</v>
      </c>
      <c r="Q60" s="93">
        <f t="shared" ref="Q60:Q63" si="65">(F60/B60)*100</f>
        <v>46.225447600735301</v>
      </c>
      <c r="R60" s="93">
        <f t="shared" ref="R60:R63" si="66">(G60/B60)*100</f>
        <v>0.80820051163930273</v>
      </c>
      <c r="S60" s="93">
        <f t="shared" ref="S60:S63" si="67">(H60/B60)*100</f>
        <v>1.0990073541764751</v>
      </c>
      <c r="T60" s="93">
        <f t="shared" ref="T60:T63" si="68">(I60/B60)*100</f>
        <v>0.16348422581620481</v>
      </c>
      <c r="U60" s="93">
        <f t="shared" ref="U60:U63" si="69">(J60/B60)*100</f>
        <v>7.2455518868036322</v>
      </c>
      <c r="V60" s="93">
        <f t="shared" ref="V60:V63" si="70">(L60/B60)*100</f>
        <v>5.6731561527998116</v>
      </c>
      <c r="W60" s="93">
        <f t="shared" ref="W60:W63" si="71">(L60/B60)*100</f>
        <v>5.6731561527998116</v>
      </c>
      <c r="X60" s="98" t="s">
        <v>169</v>
      </c>
      <c r="Y60" s="97">
        <f t="shared" ref="Y60:Y63" si="72">C60</f>
        <v>9252.240302883778</v>
      </c>
      <c r="Z60" s="6">
        <f t="shared" ref="Z60:Z63" si="73">N60</f>
        <v>11.139606129802226</v>
      </c>
      <c r="AA60" s="97">
        <f t="shared" ref="AA60:AA63" si="74">D60+E60</f>
        <v>9586.445113997177</v>
      </c>
      <c r="AB60" s="6">
        <f t="shared" ref="AB60:AB63" si="75">SUM(O60:P60)</f>
        <v>11.541985428287139</v>
      </c>
      <c r="AC60" s="97">
        <f t="shared" ref="AC60:AC63" si="76">SUM(F60:L60)</f>
        <v>64218.472933905759</v>
      </c>
      <c r="AD60" s="6">
        <f t="shared" ref="AD60:AD63" si="77">SUM(Q60:W60)</f>
        <v>66.888003884770541</v>
      </c>
      <c r="AE60" s="97">
        <f t="shared" ref="AE60:AE63" si="78">K60</f>
        <v>13375.159918969866</v>
      </c>
      <c r="AF60" s="6">
        <f t="shared" ref="AF60:AF63" si="79">V60</f>
        <v>5.6731561527998116</v>
      </c>
    </row>
    <row r="61" spans="1:53">
      <c r="A61" s="82" t="s">
        <v>170</v>
      </c>
      <c r="B61" s="90">
        <v>68981.512406164766</v>
      </c>
      <c r="C61" s="88">
        <v>8692.1718896630064</v>
      </c>
      <c r="D61" s="88">
        <v>3868.0928073581158</v>
      </c>
      <c r="E61" s="88">
        <v>4072.3636576322442</v>
      </c>
      <c r="F61" s="88">
        <v>23978.250225837783</v>
      </c>
      <c r="G61" s="88">
        <v>983.02824880794719</v>
      </c>
      <c r="H61" s="88">
        <v>1026.547302409746</v>
      </c>
      <c r="I61" s="88">
        <v>108.54656034656961</v>
      </c>
      <c r="J61" s="88">
        <v>4456.2191986474963</v>
      </c>
      <c r="K61" s="88">
        <v>18607.363952950742</v>
      </c>
      <c r="L61" s="88">
        <v>3188.9285625111224</v>
      </c>
      <c r="M61" s="82" t="s">
        <v>170</v>
      </c>
      <c r="N61" s="93">
        <f t="shared" si="62"/>
        <v>12.600726754848884</v>
      </c>
      <c r="O61" s="93">
        <f t="shared" si="63"/>
        <v>5.6074340391128201</v>
      </c>
      <c r="P61" s="93">
        <f t="shared" si="64"/>
        <v>5.903558091991477</v>
      </c>
      <c r="Q61" s="93">
        <f t="shared" si="65"/>
        <v>34.760400851540169</v>
      </c>
      <c r="R61" s="93">
        <f t="shared" si="66"/>
        <v>1.4250604466597567</v>
      </c>
      <c r="S61" s="93">
        <f t="shared" si="67"/>
        <v>1.4881484423904934</v>
      </c>
      <c r="T61" s="93">
        <f t="shared" si="68"/>
        <v>0.15735601693892259</v>
      </c>
      <c r="U61" s="93">
        <f t="shared" si="69"/>
        <v>6.4600195664153803</v>
      </c>
      <c r="V61" s="93">
        <f t="shared" si="70"/>
        <v>4.6228742329316237</v>
      </c>
      <c r="W61" s="93">
        <f t="shared" si="71"/>
        <v>4.6228742329316237</v>
      </c>
      <c r="X61" s="82" t="s">
        <v>170</v>
      </c>
      <c r="Y61" s="97">
        <f t="shared" si="72"/>
        <v>8692.1718896630064</v>
      </c>
      <c r="Z61" s="6">
        <f t="shared" si="73"/>
        <v>12.600726754848884</v>
      </c>
      <c r="AA61" s="97">
        <f t="shared" si="74"/>
        <v>7940.4564649903605</v>
      </c>
      <c r="AB61" s="6">
        <f t="shared" si="75"/>
        <v>11.510992131104297</v>
      </c>
      <c r="AC61" s="97">
        <f t="shared" si="76"/>
        <v>52348.884051511406</v>
      </c>
      <c r="AD61" s="6">
        <f t="shared" si="77"/>
        <v>53.536733789807968</v>
      </c>
      <c r="AE61" s="97">
        <f t="shared" si="78"/>
        <v>18607.363952950742</v>
      </c>
      <c r="AF61" s="6">
        <f t="shared" si="79"/>
        <v>4.6228742329316237</v>
      </c>
    </row>
    <row r="62" spans="1:53">
      <c r="A62" s="82" t="s">
        <v>174</v>
      </c>
      <c r="B62" s="90">
        <v>146594.32572933479</v>
      </c>
      <c r="C62" s="88">
        <v>9347.7295292049894</v>
      </c>
      <c r="D62" s="88">
        <v>9209.213713692192</v>
      </c>
      <c r="E62" s="88">
        <v>9972.4544633388396</v>
      </c>
      <c r="F62" s="88">
        <v>74238.311887035408</v>
      </c>
      <c r="G62" s="88">
        <v>1241.3940953565323</v>
      </c>
      <c r="H62" s="88">
        <v>1411.9712803867289</v>
      </c>
      <c r="I62" s="88">
        <v>210.21180910382267</v>
      </c>
      <c r="J62" s="88">
        <v>9065.6630817648147</v>
      </c>
      <c r="K62" s="88">
        <v>25683.905810537373</v>
      </c>
      <c r="L62" s="88">
        <v>6213.4700589140575</v>
      </c>
      <c r="M62" s="82" t="s">
        <v>174</v>
      </c>
      <c r="N62" s="93">
        <f t="shared" si="62"/>
        <v>6.3765971040817906</v>
      </c>
      <c r="O62" s="93">
        <f t="shared" si="63"/>
        <v>6.282107897338177</v>
      </c>
      <c r="P62" s="93">
        <f t="shared" si="64"/>
        <v>6.8027561187815238</v>
      </c>
      <c r="Q62" s="93">
        <f t="shared" si="65"/>
        <v>50.642009175788772</v>
      </c>
      <c r="R62" s="93">
        <f t="shared" si="66"/>
        <v>0.84682274650151668</v>
      </c>
      <c r="S62" s="93">
        <f t="shared" si="67"/>
        <v>0.96318276533685876</v>
      </c>
      <c r="T62" s="93">
        <f t="shared" si="68"/>
        <v>0.14339696168864569</v>
      </c>
      <c r="U62" s="93">
        <f t="shared" si="69"/>
        <v>6.1841841671984286</v>
      </c>
      <c r="V62" s="93">
        <f t="shared" si="70"/>
        <v>4.238547452639013</v>
      </c>
      <c r="W62" s="93">
        <f t="shared" si="71"/>
        <v>4.238547452639013</v>
      </c>
      <c r="X62" s="82" t="s">
        <v>174</v>
      </c>
      <c r="Y62" s="97">
        <f t="shared" si="72"/>
        <v>9347.7295292049894</v>
      </c>
      <c r="Z62" s="6">
        <f t="shared" si="73"/>
        <v>6.3765971040817906</v>
      </c>
      <c r="AA62" s="97">
        <f t="shared" si="74"/>
        <v>19181.668177031032</v>
      </c>
      <c r="AB62" s="6">
        <f t="shared" si="75"/>
        <v>13.084864016119701</v>
      </c>
      <c r="AC62" s="97">
        <f t="shared" si="76"/>
        <v>118064.92802309874</v>
      </c>
      <c r="AD62" s="6">
        <f t="shared" si="77"/>
        <v>67.256690721792253</v>
      </c>
      <c r="AE62" s="97">
        <f t="shared" si="78"/>
        <v>25683.905810537373</v>
      </c>
      <c r="AF62" s="6">
        <f t="shared" si="79"/>
        <v>4.238547452639013</v>
      </c>
    </row>
    <row r="63" spans="1:53">
      <c r="A63" s="98" t="s">
        <v>177</v>
      </c>
      <c r="B63" s="90">
        <v>248951.03035562701</v>
      </c>
      <c r="C63" s="88">
        <v>39832.124332222666</v>
      </c>
      <c r="D63" s="88">
        <v>17651.069425643895</v>
      </c>
      <c r="E63" s="88">
        <v>15819.080394688581</v>
      </c>
      <c r="F63" s="88">
        <v>97684.847869671386</v>
      </c>
      <c r="G63" s="88">
        <v>2291.0197528924773</v>
      </c>
      <c r="H63" s="88">
        <v>3125.7516549480115</v>
      </c>
      <c r="I63" s="88">
        <v>305.99564176486501</v>
      </c>
      <c r="J63" s="88">
        <v>16055.969278730776</v>
      </c>
      <c r="K63" s="88">
        <v>43139.452172541394</v>
      </c>
      <c r="L63" s="88">
        <v>13045.719832522973</v>
      </c>
      <c r="M63" s="98" t="s">
        <v>177</v>
      </c>
      <c r="N63" s="93">
        <f t="shared" si="62"/>
        <v>15.999983721827704</v>
      </c>
      <c r="O63" s="93">
        <f t="shared" si="63"/>
        <v>7.0901772932730216</v>
      </c>
      <c r="P63" s="93">
        <f t="shared" si="64"/>
        <v>6.3542940039617415</v>
      </c>
      <c r="Q63" s="93">
        <f t="shared" si="65"/>
        <v>39.23857946284793</v>
      </c>
      <c r="R63" s="93">
        <f t="shared" si="66"/>
        <v>0.92026923914303604</v>
      </c>
      <c r="S63" s="93">
        <f t="shared" si="67"/>
        <v>1.255568876530806</v>
      </c>
      <c r="T63" s="93">
        <f t="shared" si="68"/>
        <v>0.12291398887875646</v>
      </c>
      <c r="U63" s="93">
        <f t="shared" si="69"/>
        <v>6.4494488156143781</v>
      </c>
      <c r="V63" s="93">
        <f t="shared" si="70"/>
        <v>5.2402754926891202</v>
      </c>
      <c r="W63" s="93">
        <f t="shared" si="71"/>
        <v>5.2402754926891202</v>
      </c>
      <c r="X63" s="98" t="s">
        <v>177</v>
      </c>
      <c r="Y63" s="97">
        <f t="shared" si="72"/>
        <v>39832.124332222666</v>
      </c>
      <c r="Z63" s="6">
        <f t="shared" si="73"/>
        <v>15.999983721827704</v>
      </c>
      <c r="AA63" s="97">
        <f t="shared" si="74"/>
        <v>33470.149820332474</v>
      </c>
      <c r="AB63" s="6">
        <f t="shared" si="75"/>
        <v>13.444471297234763</v>
      </c>
      <c r="AC63" s="97">
        <f t="shared" si="76"/>
        <v>175648.75620307185</v>
      </c>
      <c r="AD63" s="6">
        <f t="shared" si="77"/>
        <v>58.467331368393161</v>
      </c>
      <c r="AE63" s="97">
        <f t="shared" si="78"/>
        <v>43139.452172541394</v>
      </c>
      <c r="AF63" s="6">
        <f t="shared" si="79"/>
        <v>5.2402754926891202</v>
      </c>
    </row>
    <row r="65" spans="1:48">
      <c r="A65" s="269" t="s">
        <v>306</v>
      </c>
    </row>
    <row r="66" spans="1:48" s="2" customFormat="1">
      <c r="B66" s="268" t="s">
        <v>196</v>
      </c>
      <c r="G66" s="101" t="s">
        <v>252</v>
      </c>
      <c r="AU66" s="99"/>
      <c r="AV66" s="99"/>
    </row>
    <row r="67" spans="1:48" ht="75">
      <c r="A67" s="66" t="s">
        <v>236</v>
      </c>
      <c r="B67" s="66" t="s">
        <v>230</v>
      </c>
      <c r="C67" s="66" t="s">
        <v>231</v>
      </c>
      <c r="D67" s="66" t="s">
        <v>233</v>
      </c>
      <c r="E67" s="66" t="s">
        <v>234</v>
      </c>
      <c r="F67" s="66" t="s">
        <v>235</v>
      </c>
      <c r="G67" s="102" t="s">
        <v>230</v>
      </c>
      <c r="H67" s="102" t="s">
        <v>231</v>
      </c>
      <c r="I67" s="102" t="s">
        <v>233</v>
      </c>
      <c r="J67" s="102" t="s">
        <v>234</v>
      </c>
    </row>
    <row r="68" spans="1:48">
      <c r="A68" s="82" t="s">
        <v>170</v>
      </c>
      <c r="B68" s="62">
        <v>1764</v>
      </c>
      <c r="C68" s="62">
        <v>7380</v>
      </c>
      <c r="D68" s="62">
        <v>9144</v>
      </c>
      <c r="E68" s="62">
        <v>65673</v>
      </c>
      <c r="F68" s="62">
        <v>74817</v>
      </c>
      <c r="G68" s="93">
        <f>(B68/F68)*100</f>
        <v>2.3577529171177671</v>
      </c>
      <c r="H68" s="93">
        <f>(C68/F68)*100</f>
        <v>9.8640683267171898</v>
      </c>
      <c r="I68" s="93">
        <f>(D68/F68)*100</f>
        <v>12.221821243834958</v>
      </c>
      <c r="J68" s="93">
        <f>(E68/F68)*100</f>
        <v>87.778178756165033</v>
      </c>
    </row>
    <row r="69" spans="1:48">
      <c r="A69" s="82" t="s">
        <v>174</v>
      </c>
      <c r="B69" s="62">
        <v>21647</v>
      </c>
      <c r="C69" s="62">
        <v>15189</v>
      </c>
      <c r="D69" s="62">
        <v>36836</v>
      </c>
      <c r="E69" s="62">
        <v>96137</v>
      </c>
      <c r="F69" s="62">
        <v>132973</v>
      </c>
      <c r="G69" s="93">
        <f t="shared" ref="G69:G73" si="80">(B69/F69)*100</f>
        <v>16.279244658690111</v>
      </c>
      <c r="H69" s="93">
        <f t="shared" ref="H69:H73" si="81">(C69/F69)*100</f>
        <v>11.422619629548855</v>
      </c>
      <c r="I69" s="93">
        <f t="shared" ref="I69:I73" si="82">(D69/F69)*100</f>
        <v>27.701864288238966</v>
      </c>
      <c r="J69" s="93">
        <f t="shared" ref="J69:J73" si="83">(E69/F69)*100</f>
        <v>72.298135711761034</v>
      </c>
    </row>
    <row r="70" spans="1:48">
      <c r="A70" s="63" t="s">
        <v>129</v>
      </c>
      <c r="B70" s="62">
        <f>SUM(B68:B69)</f>
        <v>23411</v>
      </c>
      <c r="C70" s="62">
        <f>SUM(C68:C69)</f>
        <v>22569</v>
      </c>
      <c r="D70" s="62">
        <f>SUM(D68:D69)</f>
        <v>45980</v>
      </c>
      <c r="E70" s="62">
        <f>SUM(E68:E69)</f>
        <v>161810</v>
      </c>
      <c r="F70" s="62">
        <f>SUM(F68:F69)</f>
        <v>207790</v>
      </c>
      <c r="G70" s="93">
        <f t="shared" si="80"/>
        <v>11.266663458299245</v>
      </c>
      <c r="H70" s="93">
        <f t="shared" si="81"/>
        <v>10.861446652870686</v>
      </c>
      <c r="I70" s="93">
        <f t="shared" si="82"/>
        <v>22.128110111169931</v>
      </c>
      <c r="J70" s="93">
        <f t="shared" si="83"/>
        <v>77.871889888830069</v>
      </c>
    </row>
    <row r="71" spans="1:48">
      <c r="A71" s="63" t="s">
        <v>169</v>
      </c>
      <c r="B71" s="62">
        <v>9624</v>
      </c>
      <c r="C71" s="62">
        <v>9754</v>
      </c>
      <c r="D71" s="62">
        <v>19378</v>
      </c>
      <c r="E71" s="62">
        <v>57810</v>
      </c>
      <c r="F71" s="62">
        <v>77188</v>
      </c>
      <c r="G71" s="93">
        <f t="shared" si="80"/>
        <v>12.468259314919418</v>
      </c>
      <c r="H71" s="93">
        <f t="shared" si="81"/>
        <v>12.636679276571488</v>
      </c>
      <c r="I71" s="93">
        <f t="shared" si="82"/>
        <v>25.104938591490907</v>
      </c>
      <c r="J71" s="93">
        <f t="shared" si="83"/>
        <v>74.895061408509093</v>
      </c>
    </row>
    <row r="72" spans="1:48">
      <c r="A72" s="63" t="s">
        <v>177</v>
      </c>
      <c r="B72" s="62">
        <v>19251</v>
      </c>
      <c r="C72" s="62">
        <v>20662</v>
      </c>
      <c r="D72" s="62">
        <v>39913</v>
      </c>
      <c r="E72" s="62">
        <v>213071</v>
      </c>
      <c r="F72" s="62">
        <v>252984</v>
      </c>
      <c r="G72" s="93">
        <f t="shared" si="80"/>
        <v>7.6095721468551369</v>
      </c>
      <c r="H72" s="93">
        <f t="shared" si="81"/>
        <v>8.1673149290073681</v>
      </c>
      <c r="I72" s="93">
        <f t="shared" si="82"/>
        <v>15.776887075862506</v>
      </c>
      <c r="J72" s="93">
        <f t="shared" si="83"/>
        <v>84.223112924137496</v>
      </c>
    </row>
    <row r="73" spans="1:48">
      <c r="A73" s="64" t="s">
        <v>168</v>
      </c>
      <c r="B73" s="65">
        <v>94459</v>
      </c>
      <c r="C73" s="65">
        <v>287398</v>
      </c>
      <c r="D73" s="65">
        <v>381856</v>
      </c>
      <c r="E73" s="65">
        <v>3529174</v>
      </c>
      <c r="F73" s="65">
        <v>3911030</v>
      </c>
      <c r="G73" s="93">
        <f t="shared" si="80"/>
        <v>2.415194974213954</v>
      </c>
      <c r="H73" s="93">
        <f t="shared" si="81"/>
        <v>7.348396713909124</v>
      </c>
      <c r="I73" s="93">
        <f t="shared" si="82"/>
        <v>9.7635661194109993</v>
      </c>
      <c r="J73" s="93">
        <f t="shared" si="83"/>
        <v>90.23643388058899</v>
      </c>
    </row>
    <row r="74" spans="1:48">
      <c r="A74" s="100" t="s">
        <v>232</v>
      </c>
    </row>
    <row r="75" spans="1:48">
      <c r="A75" s="100"/>
    </row>
    <row r="76" spans="1:48">
      <c r="A76" s="269" t="s">
        <v>253</v>
      </c>
    </row>
    <row r="77" spans="1:48" ht="48.75">
      <c r="A77" s="125" t="s">
        <v>236</v>
      </c>
      <c r="B77" s="123" t="s">
        <v>235</v>
      </c>
      <c r="C77" s="124" t="s">
        <v>237</v>
      </c>
      <c r="D77" s="127" t="s">
        <v>76</v>
      </c>
    </row>
    <row r="78" spans="1:48">
      <c r="A78" s="82" t="s">
        <v>170</v>
      </c>
      <c r="B78" s="126">
        <v>74.816745000000211</v>
      </c>
      <c r="C78" s="126">
        <v>26.478717499999931</v>
      </c>
      <c r="D78" s="128">
        <f>C78/B78</f>
        <v>0.35391432091839675</v>
      </c>
    </row>
    <row r="79" spans="1:48">
      <c r="A79" s="82" t="s">
        <v>174</v>
      </c>
      <c r="B79" s="126">
        <v>132.97290999999964</v>
      </c>
      <c r="C79" s="126">
        <v>73.249749999999906</v>
      </c>
      <c r="D79" s="128">
        <f t="shared" ref="D79:D83" si="84">C79/B79</f>
        <v>0.55086220193271018</v>
      </c>
    </row>
    <row r="80" spans="1:48">
      <c r="A80" s="63" t="s">
        <v>129</v>
      </c>
      <c r="B80" s="126">
        <f>SUM(B78:B79)</f>
        <v>207.78965499999987</v>
      </c>
      <c r="C80" s="126">
        <f>SUM(C78:C79)</f>
        <v>99.728467499999837</v>
      </c>
      <c r="D80" s="128">
        <f t="shared" si="84"/>
        <v>0.47994914616899431</v>
      </c>
    </row>
    <row r="81" spans="1:4">
      <c r="A81" s="63" t="s">
        <v>169</v>
      </c>
      <c r="B81" s="67">
        <v>77.187649999999962</v>
      </c>
      <c r="C81" s="126">
        <v>36.80314999999991</v>
      </c>
      <c r="D81" s="128">
        <f t="shared" si="84"/>
        <v>0.47680101674296249</v>
      </c>
    </row>
    <row r="82" spans="1:4">
      <c r="A82" s="63" t="s">
        <v>177</v>
      </c>
      <c r="B82" s="126">
        <v>252.98447000000175</v>
      </c>
      <c r="C82" s="126">
        <v>98.179124999999843</v>
      </c>
      <c r="D82" s="128">
        <f t="shared" si="84"/>
        <v>0.38808360449951401</v>
      </c>
    </row>
    <row r="83" spans="1:4">
      <c r="A83" s="64" t="s">
        <v>168</v>
      </c>
      <c r="B83" s="126">
        <v>3911.0299924998121</v>
      </c>
      <c r="C83" s="126">
        <v>1349.0678799999973</v>
      </c>
      <c r="D83" s="128">
        <f t="shared" si="84"/>
        <v>0.34493928264091728</v>
      </c>
    </row>
    <row r="84" spans="1:4">
      <c r="A84" s="100" t="s">
        <v>238</v>
      </c>
    </row>
  </sheetData>
  <mergeCells count="3">
    <mergeCell ref="W57:AD57"/>
    <mergeCell ref="D2:W2"/>
    <mergeCell ref="AT2:BA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V27"/>
  <sheetViews>
    <sheetView topLeftCell="A52" zoomScale="70" zoomScaleNormal="70" workbookViewId="0">
      <selection activeCell="A6" sqref="A6:A11"/>
    </sheetView>
  </sheetViews>
  <sheetFormatPr defaultRowHeight="15"/>
  <cols>
    <col min="1" max="1" width="36.7109375" customWidth="1"/>
    <col min="2" max="2" width="11.5703125" customWidth="1"/>
  </cols>
  <sheetData>
    <row r="1" spans="1:48">
      <c r="A1" s="70" t="s">
        <v>201</v>
      </c>
      <c r="B1" s="68" t="s">
        <v>200</v>
      </c>
    </row>
    <row r="2" spans="1:48">
      <c r="A2" s="70" t="s">
        <v>202</v>
      </c>
      <c r="B2" s="68"/>
      <c r="AU2" s="3"/>
      <c r="AV2" s="3"/>
    </row>
    <row r="3" spans="1:48">
      <c r="A3" s="10" t="s">
        <v>197</v>
      </c>
      <c r="AU3" s="3"/>
      <c r="AV3" s="3"/>
    </row>
    <row r="4" spans="1:48">
      <c r="A4" s="258" t="s">
        <v>167</v>
      </c>
      <c r="B4" s="257" t="s">
        <v>198</v>
      </c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AU4" s="3"/>
      <c r="AV4" s="3"/>
    </row>
    <row r="5" spans="1:48">
      <c r="A5" s="258"/>
      <c r="B5" s="80">
        <v>1</v>
      </c>
      <c r="C5" s="80">
        <v>2</v>
      </c>
      <c r="D5" s="80">
        <v>3</v>
      </c>
      <c r="E5" s="80">
        <v>4</v>
      </c>
      <c r="F5" s="80">
        <v>5</v>
      </c>
      <c r="G5" s="80">
        <v>6</v>
      </c>
      <c r="H5" s="80">
        <v>7</v>
      </c>
      <c r="I5" s="80">
        <v>8</v>
      </c>
      <c r="J5" s="80">
        <v>9</v>
      </c>
      <c r="K5" s="80">
        <v>10</v>
      </c>
      <c r="L5" s="80">
        <v>11</v>
      </c>
      <c r="M5" s="80">
        <v>12</v>
      </c>
      <c r="N5" s="79" t="s">
        <v>199</v>
      </c>
      <c r="AU5" s="3"/>
      <c r="AV5" s="3"/>
    </row>
    <row r="6" spans="1:48">
      <c r="A6" s="82" t="s">
        <v>170</v>
      </c>
      <c r="B6" s="76">
        <f>SUM(B7:B11)</f>
        <v>1465</v>
      </c>
      <c r="C6" s="76">
        <f t="shared" ref="C6:M6" si="0">SUM(C7:C11)</f>
        <v>1400</v>
      </c>
      <c r="D6" s="76">
        <f t="shared" si="0"/>
        <v>1695</v>
      </c>
      <c r="E6" s="76">
        <f t="shared" si="0"/>
        <v>3574</v>
      </c>
      <c r="F6" s="76">
        <f t="shared" si="0"/>
        <v>4612</v>
      </c>
      <c r="G6" s="76">
        <f t="shared" si="0"/>
        <v>4762</v>
      </c>
      <c r="H6" s="76">
        <f t="shared" si="0"/>
        <v>5231</v>
      </c>
      <c r="I6" s="76">
        <f t="shared" si="0"/>
        <v>3573</v>
      </c>
      <c r="J6" s="76">
        <f t="shared" si="0"/>
        <v>3706</v>
      </c>
      <c r="K6" s="76">
        <f t="shared" si="0"/>
        <v>2365</v>
      </c>
      <c r="L6" s="76">
        <f t="shared" si="0"/>
        <v>2148</v>
      </c>
      <c r="M6" s="76">
        <f t="shared" si="0"/>
        <v>2104</v>
      </c>
      <c r="N6" s="76">
        <f>SUM(N7:N11)</f>
        <v>30322</v>
      </c>
      <c r="AU6" s="3"/>
      <c r="AV6" s="3"/>
    </row>
    <row r="7" spans="1:48">
      <c r="A7" s="84" t="s">
        <v>216</v>
      </c>
      <c r="B7" s="74">
        <v>617</v>
      </c>
      <c r="C7" s="74">
        <v>588</v>
      </c>
      <c r="D7" s="74">
        <v>810</v>
      </c>
      <c r="E7" s="74">
        <v>1440</v>
      </c>
      <c r="F7" s="74">
        <v>1553</v>
      </c>
      <c r="G7" s="74">
        <v>1613</v>
      </c>
      <c r="H7" s="74">
        <v>1803</v>
      </c>
      <c r="I7" s="74">
        <v>1446</v>
      </c>
      <c r="J7" s="74">
        <v>1609</v>
      </c>
      <c r="K7" s="74">
        <v>906</v>
      </c>
      <c r="L7" s="74">
        <v>966</v>
      </c>
      <c r="M7" s="74">
        <v>986</v>
      </c>
      <c r="N7" s="74">
        <v>11479</v>
      </c>
      <c r="AU7" s="3"/>
      <c r="AV7" s="3"/>
    </row>
    <row r="8" spans="1:48">
      <c r="A8" s="75" t="s">
        <v>217</v>
      </c>
      <c r="B8" s="74">
        <v>68</v>
      </c>
      <c r="C8" s="74">
        <v>53</v>
      </c>
      <c r="D8" s="74">
        <v>86</v>
      </c>
      <c r="E8" s="74">
        <v>86</v>
      </c>
      <c r="F8" s="74">
        <v>437</v>
      </c>
      <c r="G8" s="74">
        <v>440</v>
      </c>
      <c r="H8" s="74">
        <v>717</v>
      </c>
      <c r="I8" s="74">
        <v>195</v>
      </c>
      <c r="J8" s="74">
        <v>145</v>
      </c>
      <c r="K8" s="74">
        <v>93</v>
      </c>
      <c r="L8" s="74">
        <v>78</v>
      </c>
      <c r="M8" s="74">
        <v>100</v>
      </c>
      <c r="N8" s="74">
        <v>2227</v>
      </c>
      <c r="AU8" s="3"/>
      <c r="AV8" s="3"/>
    </row>
    <row r="9" spans="1:48">
      <c r="A9" s="75" t="s">
        <v>218</v>
      </c>
      <c r="B9" s="74">
        <v>13</v>
      </c>
      <c r="C9" s="74">
        <v>15</v>
      </c>
      <c r="D9" s="74">
        <v>17</v>
      </c>
      <c r="E9" s="74">
        <v>23</v>
      </c>
      <c r="F9" s="74">
        <v>107</v>
      </c>
      <c r="G9" s="74">
        <v>327</v>
      </c>
      <c r="H9" s="74">
        <v>200</v>
      </c>
      <c r="I9" s="74">
        <v>136</v>
      </c>
      <c r="J9" s="74">
        <v>43</v>
      </c>
      <c r="K9" s="74">
        <v>39</v>
      </c>
      <c r="L9" s="74">
        <v>27</v>
      </c>
      <c r="M9" s="74">
        <v>28</v>
      </c>
      <c r="N9" s="74">
        <v>881</v>
      </c>
      <c r="AU9" s="3"/>
      <c r="AV9" s="3"/>
    </row>
    <row r="10" spans="1:48">
      <c r="A10" s="84" t="s">
        <v>219</v>
      </c>
      <c r="B10" s="74">
        <v>371</v>
      </c>
      <c r="C10" s="74">
        <v>293</v>
      </c>
      <c r="D10" s="74">
        <v>331</v>
      </c>
      <c r="E10" s="74">
        <v>1329</v>
      </c>
      <c r="F10" s="74">
        <v>1798</v>
      </c>
      <c r="G10" s="74">
        <v>1220</v>
      </c>
      <c r="H10" s="74">
        <v>975</v>
      </c>
      <c r="I10" s="74">
        <v>838</v>
      </c>
      <c r="J10" s="74">
        <v>775</v>
      </c>
      <c r="K10" s="74">
        <v>514</v>
      </c>
      <c r="L10" s="74">
        <v>472</v>
      </c>
      <c r="M10" s="74">
        <v>376</v>
      </c>
      <c r="N10" s="74">
        <v>8234</v>
      </c>
      <c r="AU10" s="3"/>
      <c r="AV10" s="3"/>
    </row>
    <row r="11" spans="1:48" ht="24.75">
      <c r="A11" s="75" t="s">
        <v>220</v>
      </c>
      <c r="B11" s="74">
        <v>396</v>
      </c>
      <c r="C11" s="74">
        <v>451</v>
      </c>
      <c r="D11" s="74">
        <v>451</v>
      </c>
      <c r="E11" s="74">
        <v>696</v>
      </c>
      <c r="F11" s="74">
        <v>717</v>
      </c>
      <c r="G11" s="74">
        <v>1162</v>
      </c>
      <c r="H11" s="74">
        <v>1536</v>
      </c>
      <c r="I11" s="74">
        <v>958</v>
      </c>
      <c r="J11" s="74">
        <v>1134</v>
      </c>
      <c r="K11" s="74">
        <v>813</v>
      </c>
      <c r="L11" s="74">
        <v>605</v>
      </c>
      <c r="M11" s="74">
        <v>614</v>
      </c>
      <c r="N11" s="74">
        <v>7501</v>
      </c>
      <c r="AU11" s="3"/>
      <c r="AV11" s="3"/>
    </row>
    <row r="12" spans="1:48">
      <c r="A12" s="82" t="s">
        <v>174</v>
      </c>
      <c r="B12" s="76">
        <f>SUM(B14:B17,B19:B27)</f>
        <v>3530</v>
      </c>
      <c r="C12" s="76">
        <f t="shared" ref="C12:M12" si="1">SUM(C14:C17,C19:C27)</f>
        <v>4664</v>
      </c>
      <c r="D12" s="76">
        <f t="shared" si="1"/>
        <v>12559</v>
      </c>
      <c r="E12" s="76">
        <f t="shared" si="1"/>
        <v>46128</v>
      </c>
      <c r="F12" s="76">
        <f t="shared" si="1"/>
        <v>43519</v>
      </c>
      <c r="G12" s="76">
        <f t="shared" si="1"/>
        <v>29288</v>
      </c>
      <c r="H12" s="76">
        <f t="shared" si="1"/>
        <v>21338</v>
      </c>
      <c r="I12" s="76">
        <f t="shared" si="1"/>
        <v>10461</v>
      </c>
      <c r="J12" s="76">
        <f t="shared" si="1"/>
        <v>9838</v>
      </c>
      <c r="K12" s="76">
        <f t="shared" si="1"/>
        <v>6481</v>
      </c>
      <c r="L12" s="76">
        <f t="shared" si="1"/>
        <v>5372</v>
      </c>
      <c r="M12" s="76">
        <f t="shared" si="1"/>
        <v>3457</v>
      </c>
      <c r="N12" s="76">
        <f>SUM(N14:N17,N19:N27)</f>
        <v>196635</v>
      </c>
      <c r="AU12" s="3"/>
      <c r="AV12" s="3"/>
    </row>
    <row r="13" spans="1:48">
      <c r="A13" s="83" t="s">
        <v>175</v>
      </c>
      <c r="B13" s="81">
        <f>SUM(B14:B17)</f>
        <v>2316</v>
      </c>
      <c r="C13" s="81">
        <f t="shared" ref="C13:M13" si="2">SUM(C14:C17)</f>
        <v>2955</v>
      </c>
      <c r="D13" s="81">
        <f t="shared" si="2"/>
        <v>6507</v>
      </c>
      <c r="E13" s="81">
        <f t="shared" si="2"/>
        <v>27072</v>
      </c>
      <c r="F13" s="81">
        <f t="shared" si="2"/>
        <v>23694</v>
      </c>
      <c r="G13" s="81">
        <f t="shared" si="2"/>
        <v>11694</v>
      </c>
      <c r="H13" s="81">
        <f t="shared" si="2"/>
        <v>7775</v>
      </c>
      <c r="I13" s="81">
        <f t="shared" si="2"/>
        <v>4564</v>
      </c>
      <c r="J13" s="81">
        <f t="shared" si="2"/>
        <v>4758</v>
      </c>
      <c r="K13" s="81">
        <f t="shared" si="2"/>
        <v>3117</v>
      </c>
      <c r="L13" s="81">
        <f t="shared" si="2"/>
        <v>3394</v>
      </c>
      <c r="M13" s="81">
        <f t="shared" si="2"/>
        <v>2259</v>
      </c>
      <c r="N13" s="81">
        <f>SUM(N14:N17)</f>
        <v>100105</v>
      </c>
      <c r="AU13" s="3"/>
      <c r="AV13" s="3"/>
    </row>
    <row r="14" spans="1:48" ht="36.75">
      <c r="A14" s="71" t="s">
        <v>214</v>
      </c>
      <c r="B14" s="74">
        <v>102</v>
      </c>
      <c r="C14" s="74">
        <v>126</v>
      </c>
      <c r="D14" s="74">
        <v>164</v>
      </c>
      <c r="E14" s="74">
        <v>385</v>
      </c>
      <c r="F14" s="74">
        <v>752</v>
      </c>
      <c r="G14" s="74">
        <v>853</v>
      </c>
      <c r="H14" s="74">
        <v>688</v>
      </c>
      <c r="I14" s="74">
        <v>318</v>
      </c>
      <c r="J14" s="74">
        <v>210</v>
      </c>
      <c r="K14" s="74">
        <v>185</v>
      </c>
      <c r="L14" s="74">
        <v>139</v>
      </c>
      <c r="M14" s="74">
        <v>115</v>
      </c>
      <c r="N14" s="74">
        <v>4037</v>
      </c>
      <c r="AU14" s="3"/>
      <c r="AV14" s="3"/>
    </row>
    <row r="15" spans="1:48">
      <c r="A15" s="77" t="s">
        <v>215</v>
      </c>
      <c r="B15" s="74">
        <v>19</v>
      </c>
      <c r="C15" s="74">
        <v>17</v>
      </c>
      <c r="D15" s="74">
        <v>25</v>
      </c>
      <c r="E15" s="74">
        <v>176</v>
      </c>
      <c r="F15" s="74">
        <v>828</v>
      </c>
      <c r="G15" s="74">
        <v>521</v>
      </c>
      <c r="H15" s="74">
        <v>225</v>
      </c>
      <c r="I15" s="74">
        <v>104</v>
      </c>
      <c r="J15" s="74">
        <v>56</v>
      </c>
      <c r="K15" s="74">
        <v>41</v>
      </c>
      <c r="L15" s="74">
        <v>31</v>
      </c>
      <c r="M15" s="74">
        <v>23</v>
      </c>
      <c r="N15" s="74">
        <v>2066</v>
      </c>
      <c r="AU15" s="3"/>
      <c r="AV15" s="3"/>
    </row>
    <row r="16" spans="1:48">
      <c r="A16" s="77" t="s">
        <v>213</v>
      </c>
      <c r="B16" s="74">
        <v>440</v>
      </c>
      <c r="C16" s="74">
        <v>665</v>
      </c>
      <c r="D16" s="74">
        <v>1386</v>
      </c>
      <c r="E16" s="74">
        <v>7876</v>
      </c>
      <c r="F16" s="74">
        <v>8134</v>
      </c>
      <c r="G16" s="74">
        <v>3561</v>
      </c>
      <c r="H16" s="74">
        <v>2289</v>
      </c>
      <c r="I16" s="74">
        <v>1207</v>
      </c>
      <c r="J16" s="74">
        <v>829</v>
      </c>
      <c r="K16" s="74">
        <v>660</v>
      </c>
      <c r="L16" s="74">
        <v>658</v>
      </c>
      <c r="M16" s="74">
        <v>470</v>
      </c>
      <c r="N16" s="74">
        <v>28175</v>
      </c>
      <c r="AU16" s="3"/>
      <c r="AV16" s="3"/>
    </row>
    <row r="17" spans="1:48" ht="24.75">
      <c r="A17" s="77" t="s">
        <v>212</v>
      </c>
      <c r="B17" s="74">
        <v>1755</v>
      </c>
      <c r="C17" s="74">
        <v>2147</v>
      </c>
      <c r="D17" s="74">
        <v>4932</v>
      </c>
      <c r="E17" s="74">
        <v>18635</v>
      </c>
      <c r="F17" s="74">
        <v>13980</v>
      </c>
      <c r="G17" s="74">
        <v>6759</v>
      </c>
      <c r="H17" s="74">
        <v>4573</v>
      </c>
      <c r="I17" s="74">
        <v>2935</v>
      </c>
      <c r="J17" s="74">
        <v>3663</v>
      </c>
      <c r="K17" s="74">
        <v>2231</v>
      </c>
      <c r="L17" s="74">
        <v>2566</v>
      </c>
      <c r="M17" s="74">
        <v>1651</v>
      </c>
      <c r="N17" s="74">
        <v>65827</v>
      </c>
      <c r="AU17" s="3"/>
      <c r="AV17" s="3"/>
    </row>
    <row r="18" spans="1:48">
      <c r="A18" s="83" t="s">
        <v>176</v>
      </c>
      <c r="B18" s="81">
        <f>SUM(B19:B27)</f>
        <v>1214</v>
      </c>
      <c r="C18" s="81">
        <f t="shared" ref="C18:M18" si="3">SUM(C19:C27)</f>
        <v>1709</v>
      </c>
      <c r="D18" s="81">
        <f t="shared" si="3"/>
        <v>6052</v>
      </c>
      <c r="E18" s="81">
        <f t="shared" si="3"/>
        <v>19056</v>
      </c>
      <c r="F18" s="81">
        <f t="shared" si="3"/>
        <v>19825</v>
      </c>
      <c r="G18" s="81">
        <f t="shared" si="3"/>
        <v>17594</v>
      </c>
      <c r="H18" s="81">
        <f t="shared" si="3"/>
        <v>13563</v>
      </c>
      <c r="I18" s="81">
        <f t="shared" si="3"/>
        <v>5897</v>
      </c>
      <c r="J18" s="81">
        <f t="shared" si="3"/>
        <v>5080</v>
      </c>
      <c r="K18" s="81">
        <f t="shared" si="3"/>
        <v>3364</v>
      </c>
      <c r="L18" s="81">
        <f t="shared" si="3"/>
        <v>1978</v>
      </c>
      <c r="M18" s="81">
        <f t="shared" si="3"/>
        <v>1198</v>
      </c>
      <c r="N18" s="81">
        <f>SUM(N19:N27)</f>
        <v>96530</v>
      </c>
      <c r="AU18" s="3"/>
      <c r="AV18" s="3"/>
    </row>
    <row r="19" spans="1:48">
      <c r="A19" s="72" t="s">
        <v>203</v>
      </c>
      <c r="B19" s="74">
        <v>14</v>
      </c>
      <c r="C19" s="74">
        <v>44</v>
      </c>
      <c r="D19" s="74">
        <v>79</v>
      </c>
      <c r="E19" s="74">
        <v>306</v>
      </c>
      <c r="F19" s="74">
        <v>230</v>
      </c>
      <c r="G19" s="74">
        <v>559</v>
      </c>
      <c r="H19" s="74">
        <v>645</v>
      </c>
      <c r="I19" s="74">
        <v>235</v>
      </c>
      <c r="J19" s="74">
        <v>91</v>
      </c>
      <c r="K19" s="74">
        <v>100</v>
      </c>
      <c r="L19" s="74">
        <v>45</v>
      </c>
      <c r="M19" s="74">
        <v>43</v>
      </c>
      <c r="N19" s="74">
        <v>2391</v>
      </c>
      <c r="AU19" s="3"/>
      <c r="AV19" s="3"/>
    </row>
    <row r="20" spans="1:48" ht="36.75">
      <c r="A20" s="78" t="s">
        <v>204</v>
      </c>
      <c r="B20" s="74">
        <v>422</v>
      </c>
      <c r="C20" s="74">
        <v>644</v>
      </c>
      <c r="D20" s="74">
        <v>3172</v>
      </c>
      <c r="E20" s="74">
        <v>7892</v>
      </c>
      <c r="F20" s="74">
        <v>6412</v>
      </c>
      <c r="G20" s="74">
        <v>3806</v>
      </c>
      <c r="H20" s="74">
        <v>3100</v>
      </c>
      <c r="I20" s="74">
        <v>1810</v>
      </c>
      <c r="J20" s="74">
        <v>1372</v>
      </c>
      <c r="K20" s="74">
        <v>1056</v>
      </c>
      <c r="L20" s="74">
        <v>729</v>
      </c>
      <c r="M20" s="74">
        <v>327</v>
      </c>
      <c r="N20" s="74">
        <v>30742</v>
      </c>
      <c r="AU20" s="3"/>
      <c r="AV20" s="3"/>
    </row>
    <row r="21" spans="1:48">
      <c r="A21" s="72" t="s">
        <v>205</v>
      </c>
      <c r="B21" s="74">
        <v>2</v>
      </c>
      <c r="C21" s="74">
        <v>6</v>
      </c>
      <c r="D21" s="74">
        <v>9</v>
      </c>
      <c r="E21" s="74">
        <v>214</v>
      </c>
      <c r="F21" s="74">
        <v>204</v>
      </c>
      <c r="G21" s="74">
        <v>397</v>
      </c>
      <c r="H21" s="74">
        <v>423</v>
      </c>
      <c r="I21" s="74">
        <v>161</v>
      </c>
      <c r="J21" s="74">
        <v>89</v>
      </c>
      <c r="K21" s="74">
        <v>24</v>
      </c>
      <c r="L21" s="74">
        <v>12</v>
      </c>
      <c r="M21" s="74">
        <v>10</v>
      </c>
      <c r="N21" s="74">
        <v>1551</v>
      </c>
      <c r="AU21" s="3"/>
      <c r="AV21" s="3"/>
    </row>
    <row r="22" spans="1:48" ht="24.75">
      <c r="A22" s="77" t="s">
        <v>206</v>
      </c>
      <c r="B22" s="74">
        <v>41</v>
      </c>
      <c r="C22" s="74">
        <v>49</v>
      </c>
      <c r="D22" s="74">
        <v>81</v>
      </c>
      <c r="E22" s="74">
        <v>569</v>
      </c>
      <c r="F22" s="74">
        <v>970</v>
      </c>
      <c r="G22" s="74">
        <v>1436</v>
      </c>
      <c r="H22" s="74">
        <v>1166</v>
      </c>
      <c r="I22" s="74">
        <v>286</v>
      </c>
      <c r="J22" s="74">
        <v>156</v>
      </c>
      <c r="K22" s="74">
        <v>132</v>
      </c>
      <c r="L22" s="74">
        <v>49</v>
      </c>
      <c r="M22" s="74">
        <v>37</v>
      </c>
      <c r="N22" s="74">
        <v>4972</v>
      </c>
      <c r="AU22" s="3"/>
      <c r="AV22" s="3"/>
    </row>
    <row r="23" spans="1:48">
      <c r="A23" s="72" t="s">
        <v>207</v>
      </c>
      <c r="B23" s="74">
        <v>226</v>
      </c>
      <c r="C23" s="74">
        <v>364</v>
      </c>
      <c r="D23" s="74">
        <v>1372</v>
      </c>
      <c r="E23" s="74">
        <v>6300</v>
      </c>
      <c r="F23" s="74">
        <v>6592</v>
      </c>
      <c r="G23" s="74">
        <v>4116</v>
      </c>
      <c r="H23" s="74">
        <v>2768</v>
      </c>
      <c r="I23" s="74">
        <v>1292</v>
      </c>
      <c r="J23" s="74">
        <v>994</v>
      </c>
      <c r="K23" s="74">
        <v>679</v>
      </c>
      <c r="L23" s="74">
        <v>367</v>
      </c>
      <c r="M23" s="74">
        <v>171</v>
      </c>
      <c r="N23" s="74">
        <v>25241</v>
      </c>
      <c r="AU23" s="3"/>
      <c r="AV23" s="3"/>
    </row>
    <row r="24" spans="1:48" ht="36.75">
      <c r="A24" s="77" t="s">
        <v>208</v>
      </c>
      <c r="B24" s="74">
        <v>90</v>
      </c>
      <c r="C24" s="74">
        <v>131</v>
      </c>
      <c r="D24" s="74">
        <v>228</v>
      </c>
      <c r="E24" s="74">
        <v>683</v>
      </c>
      <c r="F24" s="74">
        <v>2049</v>
      </c>
      <c r="G24" s="74">
        <v>2398</v>
      </c>
      <c r="H24" s="74">
        <v>1627</v>
      </c>
      <c r="I24" s="74">
        <v>483</v>
      </c>
      <c r="J24" s="74">
        <v>361</v>
      </c>
      <c r="K24" s="74">
        <v>301</v>
      </c>
      <c r="L24" s="74">
        <v>160</v>
      </c>
      <c r="M24" s="74">
        <v>110</v>
      </c>
      <c r="N24" s="74">
        <v>8621</v>
      </c>
      <c r="AU24" s="3"/>
      <c r="AV24" s="3"/>
    </row>
    <row r="25" spans="1:48">
      <c r="A25" s="77" t="s">
        <v>209</v>
      </c>
      <c r="B25" s="74">
        <v>124</v>
      </c>
      <c r="C25" s="74">
        <v>173</v>
      </c>
      <c r="D25" s="74">
        <v>372</v>
      </c>
      <c r="E25" s="74">
        <v>1798</v>
      </c>
      <c r="F25" s="74">
        <v>2294</v>
      </c>
      <c r="G25" s="74">
        <v>2952</v>
      </c>
      <c r="H25" s="74">
        <v>2220</v>
      </c>
      <c r="I25" s="74">
        <v>905</v>
      </c>
      <c r="J25" s="74">
        <v>525</v>
      </c>
      <c r="K25" s="74">
        <v>349</v>
      </c>
      <c r="L25" s="74">
        <v>165</v>
      </c>
      <c r="M25" s="74">
        <v>124</v>
      </c>
      <c r="N25" s="74">
        <v>12001</v>
      </c>
      <c r="AU25" s="3"/>
      <c r="AV25" s="3"/>
    </row>
    <row r="26" spans="1:48">
      <c r="A26" s="73" t="s">
        <v>210</v>
      </c>
      <c r="B26" s="74">
        <v>234</v>
      </c>
      <c r="C26" s="74">
        <v>260</v>
      </c>
      <c r="D26" s="74">
        <v>361</v>
      </c>
      <c r="E26" s="74">
        <v>732</v>
      </c>
      <c r="F26" s="74">
        <v>614</v>
      </c>
      <c r="G26" s="74">
        <v>1099</v>
      </c>
      <c r="H26" s="74">
        <v>891</v>
      </c>
      <c r="I26" s="74">
        <v>421</v>
      </c>
      <c r="J26" s="74">
        <v>1220</v>
      </c>
      <c r="K26" s="74">
        <v>514</v>
      </c>
      <c r="L26" s="74">
        <v>354</v>
      </c>
      <c r="M26" s="74">
        <v>318</v>
      </c>
      <c r="N26" s="74">
        <v>7018</v>
      </c>
      <c r="AU26" s="3"/>
      <c r="AV26" s="3"/>
    </row>
    <row r="27" spans="1:48">
      <c r="A27" s="73" t="s">
        <v>211</v>
      </c>
      <c r="B27" s="74">
        <v>61</v>
      </c>
      <c r="C27" s="74">
        <v>38</v>
      </c>
      <c r="D27" s="74">
        <v>378</v>
      </c>
      <c r="E27" s="74">
        <v>562</v>
      </c>
      <c r="F27" s="74">
        <v>460</v>
      </c>
      <c r="G27" s="74">
        <v>831</v>
      </c>
      <c r="H27" s="74">
        <v>723</v>
      </c>
      <c r="I27" s="74">
        <v>304</v>
      </c>
      <c r="J27" s="74">
        <v>272</v>
      </c>
      <c r="K27" s="74">
        <v>209</v>
      </c>
      <c r="L27" s="74">
        <v>97</v>
      </c>
      <c r="M27" s="74">
        <v>58</v>
      </c>
      <c r="N27" s="74">
        <v>3993</v>
      </c>
      <c r="AU27" s="3"/>
      <c r="AV27" s="3"/>
    </row>
  </sheetData>
  <mergeCells count="2">
    <mergeCell ref="B4:N4"/>
    <mergeCell ref="A4:A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V87"/>
  <sheetViews>
    <sheetView topLeftCell="A82" workbookViewId="0">
      <selection activeCell="A89" sqref="A89:XFD96"/>
    </sheetView>
  </sheetViews>
  <sheetFormatPr defaultColWidth="10.5703125" defaultRowHeight="12.75"/>
  <cols>
    <col min="1" max="1" width="6.28515625" style="167" customWidth="1"/>
    <col min="2" max="3" width="10.5703125" style="167"/>
    <col min="4" max="4" width="13.7109375" style="167" customWidth="1"/>
    <col min="5" max="5" width="15.42578125" style="167" customWidth="1"/>
    <col min="6" max="6" width="11.85546875" style="167" customWidth="1"/>
    <col min="7" max="7" width="13" style="188" customWidth="1"/>
    <col min="8" max="8" width="10.5703125" style="167"/>
    <col min="9" max="9" width="10.28515625" style="167" customWidth="1"/>
    <col min="10" max="11" width="10.5703125" style="167"/>
    <col min="12" max="12" width="10.5703125" style="188"/>
    <col min="13" max="13" width="11.28515625" style="167" customWidth="1"/>
    <col min="14" max="14" width="10.5703125" style="167"/>
    <col min="15" max="15" width="14.7109375" style="167" customWidth="1"/>
    <col min="16" max="16" width="13.7109375" style="167" customWidth="1"/>
    <col min="17" max="17" width="15.85546875" style="167" customWidth="1"/>
    <col min="18" max="18" width="14.28515625" style="167" customWidth="1"/>
    <col min="19" max="21" width="10.5703125" style="167"/>
    <col min="22" max="22" width="12.28515625" style="167" bestFit="1" customWidth="1"/>
    <col min="23" max="23" width="14.85546875" style="167" customWidth="1"/>
    <col min="24" max="24" width="13.5703125" style="167" customWidth="1"/>
    <col min="25" max="27" width="10.5703125" style="167"/>
    <col min="28" max="28" width="31.42578125" style="167" customWidth="1"/>
    <col min="29" max="16384" width="10.5703125" style="167"/>
  </cols>
  <sheetData>
    <row r="1" spans="1:20">
      <c r="A1" s="296" t="s">
        <v>137</v>
      </c>
      <c r="B1" s="296"/>
      <c r="C1" s="296"/>
      <c r="D1" s="296"/>
      <c r="E1" s="296"/>
      <c r="F1" s="296"/>
      <c r="G1" s="296"/>
    </row>
    <row r="2" spans="1:20" s="174" customFormat="1" ht="51">
      <c r="A2" s="174" t="s">
        <v>72</v>
      </c>
      <c r="B2" s="175" t="s">
        <v>50</v>
      </c>
      <c r="C2" s="175" t="s">
        <v>52</v>
      </c>
      <c r="D2" s="175" t="s">
        <v>77</v>
      </c>
      <c r="E2" s="175" t="s">
        <v>116</v>
      </c>
      <c r="F2" s="175" t="s">
        <v>78</v>
      </c>
      <c r="G2" s="176" t="s">
        <v>79</v>
      </c>
      <c r="H2" s="175" t="s">
        <v>80</v>
      </c>
      <c r="I2" s="175" t="s">
        <v>81</v>
      </c>
      <c r="J2" s="175" t="s">
        <v>82</v>
      </c>
      <c r="K2" s="175" t="s">
        <v>83</v>
      </c>
      <c r="L2" s="176" t="s">
        <v>84</v>
      </c>
      <c r="M2" s="297" t="s">
        <v>85</v>
      </c>
      <c r="N2" s="297" t="s">
        <v>117</v>
      </c>
      <c r="O2" s="175" t="s">
        <v>73</v>
      </c>
      <c r="P2" s="175" t="s">
        <v>86</v>
      </c>
      <c r="Q2" s="175" t="s">
        <v>74</v>
      </c>
      <c r="R2" s="175" t="s">
        <v>87</v>
      </c>
      <c r="S2" s="175" t="s">
        <v>75</v>
      </c>
      <c r="T2" s="175" t="s">
        <v>88</v>
      </c>
    </row>
    <row r="3" spans="1:20">
      <c r="A3" s="167">
        <v>41101</v>
      </c>
      <c r="B3" s="181" t="s">
        <v>1</v>
      </c>
      <c r="C3" s="194">
        <v>270</v>
      </c>
      <c r="D3" s="194">
        <f t="shared" ref="D3:D50" si="0">F3+H3</f>
        <v>87</v>
      </c>
      <c r="E3" s="178">
        <f t="shared" ref="E3:E50" si="1">(D3/C3)*100</f>
        <v>32.222222222222221</v>
      </c>
      <c r="F3" s="194">
        <v>79</v>
      </c>
      <c r="G3" s="178">
        <f t="shared" ref="G3:G50" si="2">(F3/C3)*100</f>
        <v>29.259259259259256</v>
      </c>
      <c r="H3" s="194">
        <v>8</v>
      </c>
      <c r="I3" s="178">
        <f t="shared" ref="I3:I50" si="3">(H3/D3)*100</f>
        <v>9.1954022988505741</v>
      </c>
      <c r="J3" s="194">
        <v>183</v>
      </c>
      <c r="K3" s="178">
        <f t="shared" ref="K3:K50" si="4">(J3/C3)*100</f>
        <v>67.777777777777786</v>
      </c>
      <c r="L3" s="178">
        <f t="shared" ref="L3:L50" si="5">(J3/D3)</f>
        <v>2.103448275862069</v>
      </c>
      <c r="M3" s="194">
        <v>35</v>
      </c>
      <c r="N3" s="178">
        <f t="shared" ref="N3:N50" si="6">(M3/C3)*100</f>
        <v>12.962962962962962</v>
      </c>
      <c r="O3" s="194">
        <f t="shared" ref="O3:O50" si="7">C3-M3</f>
        <v>235</v>
      </c>
      <c r="P3" s="178">
        <f t="shared" ref="P3:P50" si="8">(D3/O3)*100</f>
        <v>37.021276595744681</v>
      </c>
      <c r="Q3" s="194">
        <v>145</v>
      </c>
      <c r="R3" s="178">
        <f t="shared" ref="R3:R34" si="9">(F3/Q3)*100</f>
        <v>54.482758620689651</v>
      </c>
      <c r="S3" s="194">
        <v>183</v>
      </c>
      <c r="T3" s="178">
        <f t="shared" ref="T3:T34" si="10">(H3/S3)*100</f>
        <v>4.3715846994535523</v>
      </c>
    </row>
    <row r="4" spans="1:20">
      <c r="A4" s="167">
        <v>41102</v>
      </c>
      <c r="B4" s="181" t="s">
        <v>2</v>
      </c>
      <c r="C4" s="194">
        <v>86408</v>
      </c>
      <c r="D4" s="194">
        <f t="shared" si="0"/>
        <v>32076</v>
      </c>
      <c r="E4" s="178">
        <f t="shared" si="1"/>
        <v>37.121562818257573</v>
      </c>
      <c r="F4" s="194">
        <v>27296</v>
      </c>
      <c r="G4" s="178">
        <f t="shared" si="2"/>
        <v>31.589667623368207</v>
      </c>
      <c r="H4" s="194">
        <v>4780</v>
      </c>
      <c r="I4" s="178">
        <f t="shared" si="3"/>
        <v>14.902107494700086</v>
      </c>
      <c r="J4" s="194">
        <v>53684</v>
      </c>
      <c r="K4" s="178">
        <f t="shared" si="4"/>
        <v>62.128506619757431</v>
      </c>
      <c r="L4" s="178">
        <f t="shared" si="5"/>
        <v>1.6736500810574884</v>
      </c>
      <c r="M4" s="194">
        <v>12431</v>
      </c>
      <c r="N4" s="178">
        <f t="shared" si="6"/>
        <v>14.386399407462273</v>
      </c>
      <c r="O4" s="194">
        <f t="shared" si="7"/>
        <v>73977</v>
      </c>
      <c r="P4" s="178">
        <f t="shared" si="8"/>
        <v>43.359422523216672</v>
      </c>
      <c r="Q4" s="194">
        <v>48871</v>
      </c>
      <c r="R4" s="178">
        <f t="shared" si="9"/>
        <v>55.853164453356797</v>
      </c>
      <c r="S4" s="194">
        <v>62143</v>
      </c>
      <c r="T4" s="178">
        <f t="shared" si="10"/>
        <v>7.6919363403762295</v>
      </c>
    </row>
    <row r="5" spans="1:20">
      <c r="A5" s="167">
        <v>41103</v>
      </c>
      <c r="B5" s="181" t="s">
        <v>3</v>
      </c>
      <c r="C5" s="194">
        <v>16928</v>
      </c>
      <c r="D5" s="194">
        <f t="shared" si="0"/>
        <v>6578</v>
      </c>
      <c r="E5" s="178">
        <f t="shared" si="1"/>
        <v>38.858695652173914</v>
      </c>
      <c r="F5" s="194">
        <v>5742</v>
      </c>
      <c r="G5" s="178">
        <f t="shared" si="2"/>
        <v>33.920132325141779</v>
      </c>
      <c r="H5" s="194">
        <v>836</v>
      </c>
      <c r="I5" s="178">
        <f t="shared" si="3"/>
        <v>12.709030100334449</v>
      </c>
      <c r="J5" s="194">
        <v>10202</v>
      </c>
      <c r="K5" s="178">
        <f t="shared" si="4"/>
        <v>60.267013232514174</v>
      </c>
      <c r="L5" s="178">
        <f t="shared" si="5"/>
        <v>1.5509273335360292</v>
      </c>
      <c r="M5" s="194">
        <v>2338</v>
      </c>
      <c r="N5" s="178">
        <f t="shared" si="6"/>
        <v>13.811436672967863</v>
      </c>
      <c r="O5" s="194">
        <f t="shared" si="7"/>
        <v>14590</v>
      </c>
      <c r="P5" s="178">
        <f t="shared" si="8"/>
        <v>45.085675119945165</v>
      </c>
      <c r="Q5" s="194">
        <v>10087</v>
      </c>
      <c r="R5" s="178">
        <f t="shared" si="9"/>
        <v>56.924754634678301</v>
      </c>
      <c r="S5" s="194">
        <v>12436</v>
      </c>
      <c r="T5" s="178">
        <f t="shared" si="10"/>
        <v>6.7224187841749758</v>
      </c>
    </row>
    <row r="6" spans="1:20">
      <c r="A6" s="167">
        <v>41201</v>
      </c>
      <c r="B6" s="181" t="s">
        <v>4</v>
      </c>
      <c r="C6" s="194">
        <v>8370</v>
      </c>
      <c r="D6" s="194">
        <f t="shared" si="0"/>
        <v>3251</v>
      </c>
      <c r="E6" s="178">
        <f t="shared" si="1"/>
        <v>38.841099163679807</v>
      </c>
      <c r="F6" s="194">
        <v>2713</v>
      </c>
      <c r="G6" s="178">
        <f t="shared" si="2"/>
        <v>32.413381123058542</v>
      </c>
      <c r="H6" s="194">
        <v>538</v>
      </c>
      <c r="I6" s="178">
        <f t="shared" si="3"/>
        <v>16.548754229467853</v>
      </c>
      <c r="J6" s="194">
        <v>5119</v>
      </c>
      <c r="K6" s="178">
        <f t="shared" si="4"/>
        <v>61.158900836320193</v>
      </c>
      <c r="L6" s="178">
        <f t="shared" si="5"/>
        <v>1.5745924330975085</v>
      </c>
      <c r="M6" s="194">
        <v>907</v>
      </c>
      <c r="N6" s="178">
        <f t="shared" si="6"/>
        <v>10.836320191158901</v>
      </c>
      <c r="O6" s="194">
        <f t="shared" si="7"/>
        <v>7463</v>
      </c>
      <c r="P6" s="178">
        <f t="shared" si="8"/>
        <v>43.561570414042613</v>
      </c>
      <c r="Q6" s="194">
        <v>4709</v>
      </c>
      <c r="R6" s="178">
        <f t="shared" si="9"/>
        <v>57.613081333616478</v>
      </c>
      <c r="S6" s="194">
        <v>5997</v>
      </c>
      <c r="T6" s="178">
        <f t="shared" si="10"/>
        <v>8.9711522427880617</v>
      </c>
    </row>
    <row r="7" spans="1:20">
      <c r="A7" s="167">
        <v>41202</v>
      </c>
      <c r="B7" s="181" t="s">
        <v>5</v>
      </c>
      <c r="C7" s="298">
        <v>1459</v>
      </c>
      <c r="D7" s="194">
        <f t="shared" si="0"/>
        <v>428</v>
      </c>
      <c r="E7" s="178">
        <f t="shared" si="1"/>
        <v>29.335161069225496</v>
      </c>
      <c r="F7" s="298">
        <v>332</v>
      </c>
      <c r="G7" s="178">
        <f t="shared" si="2"/>
        <v>22.755311857436599</v>
      </c>
      <c r="H7" s="298">
        <v>96</v>
      </c>
      <c r="I7" s="178">
        <f t="shared" si="3"/>
        <v>22.429906542056074</v>
      </c>
      <c r="J7" s="298">
        <v>1031</v>
      </c>
      <c r="K7" s="178">
        <f t="shared" si="4"/>
        <v>70.664838930774494</v>
      </c>
      <c r="L7" s="178">
        <f t="shared" si="5"/>
        <v>2.4088785046728973</v>
      </c>
      <c r="M7" s="194">
        <v>122</v>
      </c>
      <c r="N7" s="178">
        <f t="shared" si="6"/>
        <v>8.3618917066483895</v>
      </c>
      <c r="O7" s="194">
        <f t="shared" si="7"/>
        <v>1337</v>
      </c>
      <c r="P7" s="178">
        <f t="shared" si="8"/>
        <v>32.011967090501123</v>
      </c>
      <c r="Q7" s="194">
        <v>757</v>
      </c>
      <c r="R7" s="178">
        <f t="shared" si="9"/>
        <v>43.85733157199472</v>
      </c>
      <c r="S7" s="194">
        <v>900</v>
      </c>
      <c r="T7" s="178">
        <f t="shared" si="10"/>
        <v>10.666666666666668</v>
      </c>
    </row>
    <row r="8" spans="1:20">
      <c r="A8" s="167">
        <v>41203</v>
      </c>
      <c r="B8" s="181" t="s">
        <v>6</v>
      </c>
      <c r="C8" s="194">
        <v>32977</v>
      </c>
      <c r="D8" s="194">
        <f t="shared" si="0"/>
        <v>13074</v>
      </c>
      <c r="E8" s="178">
        <f t="shared" si="1"/>
        <v>39.645813748976558</v>
      </c>
      <c r="F8" s="194">
        <v>11303</v>
      </c>
      <c r="G8" s="178">
        <f t="shared" si="2"/>
        <v>34.275404069502983</v>
      </c>
      <c r="H8" s="194">
        <v>1771</v>
      </c>
      <c r="I8" s="178">
        <f t="shared" si="3"/>
        <v>13.545969098975064</v>
      </c>
      <c r="J8" s="194">
        <v>19764</v>
      </c>
      <c r="K8" s="178">
        <f t="shared" si="4"/>
        <v>59.932680352973286</v>
      </c>
      <c r="L8" s="178">
        <f t="shared" si="5"/>
        <v>1.5117026158788436</v>
      </c>
      <c r="M8" s="194">
        <v>4277</v>
      </c>
      <c r="N8" s="178">
        <f t="shared" si="6"/>
        <v>12.969645510507325</v>
      </c>
      <c r="O8" s="194">
        <f t="shared" si="7"/>
        <v>28700</v>
      </c>
      <c r="P8" s="178">
        <f t="shared" si="8"/>
        <v>45.554006968641112</v>
      </c>
      <c r="Q8" s="194">
        <v>19572</v>
      </c>
      <c r="R8" s="178">
        <f t="shared" si="9"/>
        <v>57.750868587778456</v>
      </c>
      <c r="S8" s="194">
        <v>24464</v>
      </c>
      <c r="T8" s="178">
        <f t="shared" si="10"/>
        <v>7.2392086330935248</v>
      </c>
    </row>
    <row r="9" spans="1:20">
      <c r="A9" s="167">
        <v>41301</v>
      </c>
      <c r="B9" s="181" t="s">
        <v>7</v>
      </c>
      <c r="C9" s="194">
        <v>51377</v>
      </c>
      <c r="D9" s="194">
        <f t="shared" si="0"/>
        <v>19468</v>
      </c>
      <c r="E9" s="178">
        <f t="shared" si="1"/>
        <v>37.892442143371547</v>
      </c>
      <c r="F9" s="194">
        <v>16912</v>
      </c>
      <c r="G9" s="178">
        <f t="shared" si="2"/>
        <v>32.917453335149972</v>
      </c>
      <c r="H9" s="194">
        <v>2556</v>
      </c>
      <c r="I9" s="178">
        <f t="shared" si="3"/>
        <v>13.129237723443598</v>
      </c>
      <c r="J9" s="194">
        <v>31540</v>
      </c>
      <c r="K9" s="178">
        <f t="shared" si="4"/>
        <v>61.389337641357024</v>
      </c>
      <c r="L9" s="178">
        <f t="shared" si="5"/>
        <v>1.6200945140743785</v>
      </c>
      <c r="M9" s="194">
        <v>7124</v>
      </c>
      <c r="N9" s="178">
        <f t="shared" si="6"/>
        <v>13.866126866107404</v>
      </c>
      <c r="O9" s="194">
        <f t="shared" si="7"/>
        <v>44253</v>
      </c>
      <c r="P9" s="178">
        <f t="shared" si="8"/>
        <v>43.992497683772854</v>
      </c>
      <c r="Q9" s="194">
        <v>30447</v>
      </c>
      <c r="R9" s="178">
        <f t="shared" si="9"/>
        <v>55.545702368049398</v>
      </c>
      <c r="S9" s="194">
        <v>37866</v>
      </c>
      <c r="T9" s="178">
        <f t="shared" si="10"/>
        <v>6.7501188401204244</v>
      </c>
    </row>
    <row r="10" spans="1:20">
      <c r="A10" s="167">
        <v>41302</v>
      </c>
      <c r="B10" s="181" t="s">
        <v>8</v>
      </c>
      <c r="C10" s="194">
        <v>826</v>
      </c>
      <c r="D10" s="194">
        <f t="shared" si="0"/>
        <v>243</v>
      </c>
      <c r="E10" s="178">
        <f t="shared" si="1"/>
        <v>29.418886198547217</v>
      </c>
      <c r="F10" s="194">
        <v>219</v>
      </c>
      <c r="G10" s="178">
        <f t="shared" si="2"/>
        <v>26.513317191283292</v>
      </c>
      <c r="H10" s="194">
        <v>24</v>
      </c>
      <c r="I10" s="178">
        <f t="shared" si="3"/>
        <v>9.8765432098765427</v>
      </c>
      <c r="J10" s="194">
        <v>583</v>
      </c>
      <c r="K10" s="178">
        <f t="shared" si="4"/>
        <v>70.581113801452787</v>
      </c>
      <c r="L10" s="178">
        <f t="shared" si="5"/>
        <v>2.3991769547325101</v>
      </c>
      <c r="M10" s="194">
        <v>81</v>
      </c>
      <c r="N10" s="178">
        <f t="shared" si="6"/>
        <v>9.8062953995157383</v>
      </c>
      <c r="O10" s="194">
        <f t="shared" si="7"/>
        <v>745</v>
      </c>
      <c r="P10" s="178">
        <f t="shared" si="8"/>
        <v>32.617449664429529</v>
      </c>
      <c r="Q10" s="194">
        <v>509</v>
      </c>
      <c r="R10" s="178">
        <f t="shared" si="9"/>
        <v>43.025540275049117</v>
      </c>
      <c r="S10" s="194">
        <v>657</v>
      </c>
      <c r="T10" s="178">
        <f t="shared" si="10"/>
        <v>3.6529680365296802</v>
      </c>
    </row>
    <row r="11" spans="1:20">
      <c r="A11" s="167">
        <v>41303</v>
      </c>
      <c r="B11" s="181" t="s">
        <v>9</v>
      </c>
      <c r="C11" s="194">
        <v>458</v>
      </c>
      <c r="D11" s="194">
        <f t="shared" si="0"/>
        <v>159</v>
      </c>
      <c r="E11" s="178">
        <f t="shared" si="1"/>
        <v>34.716157205240172</v>
      </c>
      <c r="F11" s="194">
        <v>130</v>
      </c>
      <c r="G11" s="178">
        <f t="shared" si="2"/>
        <v>28.384279475982531</v>
      </c>
      <c r="H11" s="194">
        <v>29</v>
      </c>
      <c r="I11" s="178">
        <f t="shared" si="3"/>
        <v>18.238993710691823</v>
      </c>
      <c r="J11" s="194">
        <v>299</v>
      </c>
      <c r="K11" s="178">
        <f t="shared" si="4"/>
        <v>65.283842794759835</v>
      </c>
      <c r="L11" s="178">
        <f t="shared" si="5"/>
        <v>1.8805031446540881</v>
      </c>
      <c r="M11" s="194">
        <v>46</v>
      </c>
      <c r="N11" s="178">
        <f t="shared" si="6"/>
        <v>10.043668122270741</v>
      </c>
      <c r="O11" s="194">
        <f t="shared" si="7"/>
        <v>412</v>
      </c>
      <c r="P11" s="178">
        <f t="shared" si="8"/>
        <v>38.592233009708735</v>
      </c>
      <c r="Q11" s="194">
        <v>273</v>
      </c>
      <c r="R11" s="178">
        <f t="shared" si="9"/>
        <v>47.619047619047613</v>
      </c>
      <c r="S11" s="194">
        <v>339</v>
      </c>
      <c r="T11" s="178">
        <f t="shared" si="10"/>
        <v>8.5545722713864301</v>
      </c>
    </row>
    <row r="12" spans="1:20">
      <c r="A12" s="167">
        <v>42101</v>
      </c>
      <c r="B12" s="181" t="s">
        <v>11</v>
      </c>
      <c r="C12" s="194">
        <v>185</v>
      </c>
      <c r="D12" s="194">
        <f t="shared" si="0"/>
        <v>87</v>
      </c>
      <c r="E12" s="178">
        <f t="shared" si="1"/>
        <v>47.027027027027032</v>
      </c>
      <c r="F12" s="194">
        <v>75</v>
      </c>
      <c r="G12" s="178">
        <f t="shared" si="2"/>
        <v>40.54054054054054</v>
      </c>
      <c r="H12" s="194">
        <v>12</v>
      </c>
      <c r="I12" s="178">
        <f t="shared" si="3"/>
        <v>13.793103448275861</v>
      </c>
      <c r="J12" s="194">
        <v>98</v>
      </c>
      <c r="K12" s="178">
        <f t="shared" si="4"/>
        <v>52.972972972972975</v>
      </c>
      <c r="L12" s="178">
        <f t="shared" si="5"/>
        <v>1.1264367816091954</v>
      </c>
      <c r="M12" s="194">
        <v>13</v>
      </c>
      <c r="N12" s="178">
        <f t="shared" si="6"/>
        <v>7.0270270270270272</v>
      </c>
      <c r="O12" s="194">
        <f t="shared" si="7"/>
        <v>172</v>
      </c>
      <c r="P12" s="178">
        <f t="shared" si="8"/>
        <v>50.581395348837212</v>
      </c>
      <c r="Q12" s="194">
        <v>123</v>
      </c>
      <c r="R12" s="178">
        <f t="shared" si="9"/>
        <v>60.975609756097562</v>
      </c>
      <c r="S12" s="194">
        <v>148</v>
      </c>
      <c r="T12" s="178">
        <f t="shared" si="10"/>
        <v>8.1081081081081088</v>
      </c>
    </row>
    <row r="13" spans="1:20">
      <c r="A13" s="167">
        <v>42103</v>
      </c>
      <c r="B13" s="181" t="s">
        <v>12</v>
      </c>
      <c r="C13" s="194">
        <v>1334</v>
      </c>
      <c r="D13" s="194">
        <f t="shared" si="0"/>
        <v>516</v>
      </c>
      <c r="E13" s="178">
        <f t="shared" si="1"/>
        <v>38.680659670164921</v>
      </c>
      <c r="F13" s="194">
        <v>438</v>
      </c>
      <c r="G13" s="178">
        <f t="shared" si="2"/>
        <v>32.833583208395801</v>
      </c>
      <c r="H13" s="194">
        <v>78</v>
      </c>
      <c r="I13" s="178">
        <f t="shared" si="3"/>
        <v>15.11627906976744</v>
      </c>
      <c r="J13" s="194">
        <v>818</v>
      </c>
      <c r="K13" s="178">
        <f t="shared" si="4"/>
        <v>61.319340329835079</v>
      </c>
      <c r="L13" s="178">
        <f t="shared" si="5"/>
        <v>1.5852713178294573</v>
      </c>
      <c r="M13" s="194">
        <v>175</v>
      </c>
      <c r="N13" s="178">
        <f t="shared" si="6"/>
        <v>13.118440779610193</v>
      </c>
      <c r="O13" s="194">
        <f t="shared" si="7"/>
        <v>1159</v>
      </c>
      <c r="P13" s="178">
        <f t="shared" si="8"/>
        <v>44.521138912855911</v>
      </c>
      <c r="Q13" s="194">
        <v>845</v>
      </c>
      <c r="R13" s="178">
        <f t="shared" si="9"/>
        <v>51.834319526627212</v>
      </c>
      <c r="S13" s="194">
        <v>1029</v>
      </c>
      <c r="T13" s="178">
        <f t="shared" si="10"/>
        <v>7.5801749271137027</v>
      </c>
    </row>
    <row r="14" spans="1:20">
      <c r="A14" s="167">
        <v>42105</v>
      </c>
      <c r="B14" s="181" t="s">
        <v>13</v>
      </c>
      <c r="C14" s="194">
        <v>16179</v>
      </c>
      <c r="D14" s="194">
        <f t="shared" si="0"/>
        <v>5882</v>
      </c>
      <c r="E14" s="178">
        <f t="shared" si="1"/>
        <v>36.355769825081893</v>
      </c>
      <c r="F14" s="194">
        <v>4754</v>
      </c>
      <c r="G14" s="178">
        <f t="shared" si="2"/>
        <v>29.38376908337969</v>
      </c>
      <c r="H14" s="194">
        <v>1128</v>
      </c>
      <c r="I14" s="178">
        <f t="shared" si="3"/>
        <v>19.177150629037744</v>
      </c>
      <c r="J14" s="194">
        <v>10297</v>
      </c>
      <c r="K14" s="178">
        <f t="shared" si="4"/>
        <v>63.644230174918107</v>
      </c>
      <c r="L14" s="178">
        <f t="shared" si="5"/>
        <v>1.750595035702142</v>
      </c>
      <c r="M14" s="194">
        <v>3134</v>
      </c>
      <c r="N14" s="178">
        <f t="shared" si="6"/>
        <v>19.370789294764819</v>
      </c>
      <c r="O14" s="194">
        <f t="shared" si="7"/>
        <v>13045</v>
      </c>
      <c r="P14" s="178">
        <f t="shared" si="8"/>
        <v>45.090072824837101</v>
      </c>
      <c r="Q14" s="194">
        <v>9569</v>
      </c>
      <c r="R14" s="178">
        <f t="shared" si="9"/>
        <v>49.681262409865191</v>
      </c>
      <c r="S14" s="194">
        <v>11894</v>
      </c>
      <c r="T14" s="178">
        <f t="shared" si="10"/>
        <v>9.4837733310913066</v>
      </c>
    </row>
    <row r="15" spans="1:20">
      <c r="A15" s="167">
        <v>42106</v>
      </c>
      <c r="B15" s="181" t="s">
        <v>14</v>
      </c>
      <c r="C15" s="194">
        <v>6139</v>
      </c>
      <c r="D15" s="194">
        <f t="shared" si="0"/>
        <v>2698</v>
      </c>
      <c r="E15" s="178">
        <f t="shared" si="1"/>
        <v>43.94852581853722</v>
      </c>
      <c r="F15" s="194">
        <v>2262</v>
      </c>
      <c r="G15" s="178">
        <f t="shared" si="2"/>
        <v>36.846391920508225</v>
      </c>
      <c r="H15" s="194">
        <v>436</v>
      </c>
      <c r="I15" s="178">
        <f t="shared" si="3"/>
        <v>16.160118606375093</v>
      </c>
      <c r="J15" s="194">
        <v>3441</v>
      </c>
      <c r="K15" s="178">
        <f t="shared" si="4"/>
        <v>56.05147418146278</v>
      </c>
      <c r="L15" s="178">
        <f t="shared" si="5"/>
        <v>1.2753891771682728</v>
      </c>
      <c r="M15" s="194">
        <v>858</v>
      </c>
      <c r="N15" s="178">
        <f t="shared" si="6"/>
        <v>13.976217625020363</v>
      </c>
      <c r="O15" s="194">
        <f t="shared" si="7"/>
        <v>5281</v>
      </c>
      <c r="P15" s="178">
        <f t="shared" si="8"/>
        <v>51.088808937701188</v>
      </c>
      <c r="Q15" s="194">
        <v>3759</v>
      </c>
      <c r="R15" s="178">
        <f t="shared" si="9"/>
        <v>60.175578611332803</v>
      </c>
      <c r="S15" s="194">
        <v>4558</v>
      </c>
      <c r="T15" s="178">
        <f t="shared" si="10"/>
        <v>9.5655989469065386</v>
      </c>
    </row>
    <row r="16" spans="1:20">
      <c r="A16" s="167">
        <v>42107</v>
      </c>
      <c r="B16" s="181" t="s">
        <v>15</v>
      </c>
      <c r="C16" s="194">
        <v>1084</v>
      </c>
      <c r="D16" s="194">
        <f t="shared" si="0"/>
        <v>334</v>
      </c>
      <c r="E16" s="178">
        <f t="shared" si="1"/>
        <v>30.811808118081181</v>
      </c>
      <c r="F16" s="194">
        <v>267</v>
      </c>
      <c r="G16" s="178">
        <f t="shared" si="2"/>
        <v>24.630996309963098</v>
      </c>
      <c r="H16" s="194">
        <v>67</v>
      </c>
      <c r="I16" s="178">
        <f t="shared" si="3"/>
        <v>20.059880239520957</v>
      </c>
      <c r="J16" s="194">
        <v>750</v>
      </c>
      <c r="K16" s="178">
        <f t="shared" si="4"/>
        <v>69.188191881918812</v>
      </c>
      <c r="L16" s="178">
        <f t="shared" si="5"/>
        <v>2.2455089820359282</v>
      </c>
      <c r="M16" s="194">
        <v>144</v>
      </c>
      <c r="N16" s="178">
        <f t="shared" si="6"/>
        <v>13.284132841328415</v>
      </c>
      <c r="O16" s="194">
        <f t="shared" si="7"/>
        <v>940</v>
      </c>
      <c r="P16" s="178">
        <f t="shared" si="8"/>
        <v>35.531914893617021</v>
      </c>
      <c r="Q16" s="194">
        <v>599</v>
      </c>
      <c r="R16" s="178">
        <f t="shared" si="9"/>
        <v>44.574290484140235</v>
      </c>
      <c r="S16" s="194">
        <v>780</v>
      </c>
      <c r="T16" s="178">
        <f t="shared" si="10"/>
        <v>8.5897435897435894</v>
      </c>
    </row>
    <row r="17" spans="1:20">
      <c r="A17" s="167">
        <v>42108</v>
      </c>
      <c r="B17" s="181" t="s">
        <v>16</v>
      </c>
      <c r="C17" s="194">
        <v>33388</v>
      </c>
      <c r="D17" s="194">
        <f t="shared" si="0"/>
        <v>17295</v>
      </c>
      <c r="E17" s="178">
        <f t="shared" si="1"/>
        <v>51.80004792140889</v>
      </c>
      <c r="F17" s="194">
        <v>15359</v>
      </c>
      <c r="G17" s="178">
        <f t="shared" si="2"/>
        <v>46.001557445788904</v>
      </c>
      <c r="H17" s="194">
        <v>1936</v>
      </c>
      <c r="I17" s="178">
        <f t="shared" si="3"/>
        <v>11.193986701358774</v>
      </c>
      <c r="J17" s="194">
        <v>16093</v>
      </c>
      <c r="K17" s="178">
        <f t="shared" si="4"/>
        <v>48.19995207859111</v>
      </c>
      <c r="L17" s="178">
        <f t="shared" si="5"/>
        <v>0.93050014455044816</v>
      </c>
      <c r="M17" s="194">
        <v>5655</v>
      </c>
      <c r="N17" s="178">
        <f t="shared" si="6"/>
        <v>16.937222954354858</v>
      </c>
      <c r="O17" s="194">
        <f t="shared" si="7"/>
        <v>27733</v>
      </c>
      <c r="P17" s="178">
        <f t="shared" si="8"/>
        <v>62.362528395773985</v>
      </c>
      <c r="Q17" s="194">
        <v>22140</v>
      </c>
      <c r="R17" s="178">
        <f t="shared" si="9"/>
        <v>69.37217705510389</v>
      </c>
      <c r="S17" s="194">
        <v>26058</v>
      </c>
      <c r="T17" s="178">
        <f t="shared" si="10"/>
        <v>7.4295801673190578</v>
      </c>
    </row>
    <row r="18" spans="1:20">
      <c r="A18" s="167">
        <v>42109</v>
      </c>
      <c r="B18" s="181" t="s">
        <v>17</v>
      </c>
      <c r="C18" s="194">
        <v>790</v>
      </c>
      <c r="D18" s="194">
        <f t="shared" si="0"/>
        <v>321</v>
      </c>
      <c r="E18" s="178">
        <f t="shared" si="1"/>
        <v>40.632911392405063</v>
      </c>
      <c r="F18" s="194">
        <v>285</v>
      </c>
      <c r="G18" s="178">
        <f t="shared" si="2"/>
        <v>36.075949367088604</v>
      </c>
      <c r="H18" s="194">
        <v>36</v>
      </c>
      <c r="I18" s="178">
        <f t="shared" si="3"/>
        <v>11.214953271028037</v>
      </c>
      <c r="J18" s="194">
        <v>469</v>
      </c>
      <c r="K18" s="178">
        <f t="shared" si="4"/>
        <v>59.367088607594944</v>
      </c>
      <c r="L18" s="178">
        <f t="shared" si="5"/>
        <v>1.4610591900311527</v>
      </c>
      <c r="M18" s="194">
        <v>58</v>
      </c>
      <c r="N18" s="178">
        <f t="shared" si="6"/>
        <v>7.3417721518987342</v>
      </c>
      <c r="O18" s="194">
        <f t="shared" si="7"/>
        <v>732</v>
      </c>
      <c r="P18" s="178">
        <f t="shared" si="8"/>
        <v>43.852459016393439</v>
      </c>
      <c r="Q18" s="194">
        <v>475</v>
      </c>
      <c r="R18" s="178">
        <f t="shared" si="9"/>
        <v>60</v>
      </c>
      <c r="S18" s="194">
        <v>566</v>
      </c>
      <c r="T18" s="178">
        <f t="shared" si="10"/>
        <v>6.3604240282685502</v>
      </c>
    </row>
    <row r="19" spans="1:20">
      <c r="A19" s="167">
        <v>42110</v>
      </c>
      <c r="B19" s="181" t="s">
        <v>18</v>
      </c>
      <c r="C19" s="194">
        <v>7917</v>
      </c>
      <c r="D19" s="194">
        <f t="shared" si="0"/>
        <v>3113</v>
      </c>
      <c r="E19" s="178">
        <f t="shared" si="1"/>
        <v>39.320449665277252</v>
      </c>
      <c r="F19" s="194">
        <v>2632</v>
      </c>
      <c r="G19" s="178">
        <f t="shared" si="2"/>
        <v>33.244916003536694</v>
      </c>
      <c r="H19" s="194">
        <v>481</v>
      </c>
      <c r="I19" s="178">
        <f t="shared" si="3"/>
        <v>15.451333119177644</v>
      </c>
      <c r="J19" s="194">
        <v>4804</v>
      </c>
      <c r="K19" s="178">
        <f t="shared" si="4"/>
        <v>60.679550334722755</v>
      </c>
      <c r="L19" s="178">
        <f t="shared" si="5"/>
        <v>1.5432059106970768</v>
      </c>
      <c r="M19" s="194">
        <v>1257</v>
      </c>
      <c r="N19" s="178">
        <f t="shared" si="6"/>
        <v>15.877226222053809</v>
      </c>
      <c r="O19" s="194">
        <f t="shared" si="7"/>
        <v>6660</v>
      </c>
      <c r="P19" s="178">
        <f t="shared" si="8"/>
        <v>46.741741741741741</v>
      </c>
      <c r="Q19" s="194">
        <v>4852</v>
      </c>
      <c r="R19" s="178">
        <f t="shared" si="9"/>
        <v>54.245671887881286</v>
      </c>
      <c r="S19" s="194">
        <v>6069</v>
      </c>
      <c r="T19" s="178">
        <f t="shared" si="10"/>
        <v>7.9255231504366446</v>
      </c>
    </row>
    <row r="20" spans="1:20">
      <c r="A20" s="167">
        <v>42111</v>
      </c>
      <c r="B20" s="181" t="s">
        <v>19</v>
      </c>
      <c r="C20" s="194">
        <v>492</v>
      </c>
      <c r="D20" s="194">
        <f t="shared" si="0"/>
        <v>213</v>
      </c>
      <c r="E20" s="178">
        <f t="shared" si="1"/>
        <v>43.292682926829265</v>
      </c>
      <c r="F20" s="194">
        <v>199</v>
      </c>
      <c r="G20" s="178">
        <f t="shared" si="2"/>
        <v>40.447154471544714</v>
      </c>
      <c r="H20" s="194">
        <v>14</v>
      </c>
      <c r="I20" s="178">
        <f t="shared" si="3"/>
        <v>6.5727699530516439</v>
      </c>
      <c r="J20" s="194">
        <v>279</v>
      </c>
      <c r="K20" s="178">
        <f t="shared" si="4"/>
        <v>56.707317073170728</v>
      </c>
      <c r="L20" s="178">
        <f t="shared" si="5"/>
        <v>1.3098591549295775</v>
      </c>
      <c r="M20" s="194">
        <v>50</v>
      </c>
      <c r="N20" s="178">
        <f t="shared" si="6"/>
        <v>10.16260162601626</v>
      </c>
      <c r="O20" s="194">
        <f t="shared" si="7"/>
        <v>442</v>
      </c>
      <c r="P20" s="178">
        <f t="shared" si="8"/>
        <v>48.190045248868778</v>
      </c>
      <c r="Q20" s="194">
        <v>352</v>
      </c>
      <c r="R20" s="178">
        <f t="shared" si="9"/>
        <v>56.534090909090907</v>
      </c>
      <c r="S20" s="194">
        <v>411</v>
      </c>
      <c r="T20" s="178">
        <f t="shared" si="10"/>
        <v>3.4063260340632602</v>
      </c>
    </row>
    <row r="21" spans="1:20">
      <c r="A21" s="167">
        <v>42112</v>
      </c>
      <c r="B21" s="181" t="s">
        <v>20</v>
      </c>
      <c r="C21" s="194">
        <v>1008</v>
      </c>
      <c r="D21" s="194">
        <f t="shared" si="0"/>
        <v>441</v>
      </c>
      <c r="E21" s="178">
        <f t="shared" si="1"/>
        <v>43.75</v>
      </c>
      <c r="F21" s="194">
        <v>327</v>
      </c>
      <c r="G21" s="178">
        <f t="shared" si="2"/>
        <v>32.44047619047619</v>
      </c>
      <c r="H21" s="194">
        <v>114</v>
      </c>
      <c r="I21" s="178">
        <f t="shared" si="3"/>
        <v>25.850340136054424</v>
      </c>
      <c r="J21" s="194">
        <v>567</v>
      </c>
      <c r="K21" s="178">
        <f t="shared" si="4"/>
        <v>56.25</v>
      </c>
      <c r="L21" s="178">
        <f t="shared" si="5"/>
        <v>1.2857142857142858</v>
      </c>
      <c r="M21" s="194">
        <v>112</v>
      </c>
      <c r="N21" s="178">
        <f t="shared" si="6"/>
        <v>11.111111111111111</v>
      </c>
      <c r="O21" s="194">
        <f t="shared" si="7"/>
        <v>896</v>
      </c>
      <c r="P21" s="178">
        <f t="shared" si="8"/>
        <v>49.21875</v>
      </c>
      <c r="Q21" s="194">
        <v>501</v>
      </c>
      <c r="R21" s="178">
        <f t="shared" si="9"/>
        <v>65.269461077844312</v>
      </c>
      <c r="S21" s="194">
        <v>2354</v>
      </c>
      <c r="T21" s="178">
        <f t="shared" si="10"/>
        <v>4.8428207306711979</v>
      </c>
    </row>
    <row r="22" spans="1:20">
      <c r="A22" s="167">
        <v>42112</v>
      </c>
      <c r="B22" s="181" t="s">
        <v>21</v>
      </c>
      <c r="C22" s="194">
        <v>3047</v>
      </c>
      <c r="D22" s="194">
        <f t="shared" si="0"/>
        <v>1337</v>
      </c>
      <c r="E22" s="178">
        <f t="shared" si="1"/>
        <v>43.879225467673123</v>
      </c>
      <c r="F22" s="194">
        <v>1200</v>
      </c>
      <c r="G22" s="178">
        <f t="shared" si="2"/>
        <v>39.382999671808335</v>
      </c>
      <c r="H22" s="194">
        <v>137</v>
      </c>
      <c r="I22" s="178">
        <f t="shared" si="3"/>
        <v>10.246821241585639</v>
      </c>
      <c r="J22" s="194">
        <v>1710</v>
      </c>
      <c r="K22" s="178">
        <f t="shared" si="4"/>
        <v>56.120774532326877</v>
      </c>
      <c r="L22" s="178">
        <f t="shared" si="5"/>
        <v>1.2789827973074046</v>
      </c>
      <c r="M22" s="194">
        <v>457</v>
      </c>
      <c r="N22" s="178">
        <f t="shared" si="6"/>
        <v>14.998359041680342</v>
      </c>
      <c r="O22" s="194">
        <f t="shared" si="7"/>
        <v>2590</v>
      </c>
      <c r="P22" s="178">
        <f t="shared" si="8"/>
        <v>51.621621621621614</v>
      </c>
      <c r="Q22" s="194">
        <v>1944</v>
      </c>
      <c r="R22" s="178">
        <f t="shared" si="9"/>
        <v>61.728395061728392</v>
      </c>
      <c r="S22" s="194">
        <v>608</v>
      </c>
      <c r="T22" s="178">
        <f t="shared" si="10"/>
        <v>22.532894736842106</v>
      </c>
    </row>
    <row r="23" spans="1:20">
      <c r="A23" s="167">
        <v>42114</v>
      </c>
      <c r="B23" s="181" t="s">
        <v>22</v>
      </c>
      <c r="C23" s="194">
        <v>115490</v>
      </c>
      <c r="D23" s="194">
        <f t="shared" si="0"/>
        <v>54536</v>
      </c>
      <c r="E23" s="178">
        <f t="shared" si="1"/>
        <v>47.221404450601781</v>
      </c>
      <c r="F23" s="194">
        <v>46874</v>
      </c>
      <c r="G23" s="178">
        <f t="shared" si="2"/>
        <v>40.587063815048921</v>
      </c>
      <c r="H23" s="194">
        <v>7662</v>
      </c>
      <c r="I23" s="178">
        <f t="shared" si="3"/>
        <v>14.049435235440811</v>
      </c>
      <c r="J23" s="194">
        <v>60811</v>
      </c>
      <c r="K23" s="178">
        <f t="shared" si="4"/>
        <v>52.654775305221236</v>
      </c>
      <c r="L23" s="178">
        <f t="shared" si="5"/>
        <v>1.1150616106791844</v>
      </c>
      <c r="M23" s="194">
        <v>19341</v>
      </c>
      <c r="N23" s="178">
        <f t="shared" si="6"/>
        <v>16.746904493895578</v>
      </c>
      <c r="O23" s="194">
        <f t="shared" si="7"/>
        <v>96149</v>
      </c>
      <c r="P23" s="178">
        <f t="shared" si="8"/>
        <v>56.720298703054638</v>
      </c>
      <c r="Q23" s="194">
        <v>73138</v>
      </c>
      <c r="R23" s="178">
        <f t="shared" si="9"/>
        <v>64.089802838469751</v>
      </c>
      <c r="S23" s="194">
        <v>88911</v>
      </c>
      <c r="T23" s="178">
        <f t="shared" si="10"/>
        <v>8.6176063704153592</v>
      </c>
    </row>
    <row r="24" spans="1:20">
      <c r="A24" s="167">
        <v>42115</v>
      </c>
      <c r="B24" s="181" t="s">
        <v>23</v>
      </c>
      <c r="C24" s="194">
        <v>2590</v>
      </c>
      <c r="D24" s="194">
        <f t="shared" si="0"/>
        <v>1073</v>
      </c>
      <c r="E24" s="178">
        <f t="shared" si="1"/>
        <v>41.428571428571431</v>
      </c>
      <c r="F24" s="194">
        <v>941</v>
      </c>
      <c r="G24" s="178">
        <f t="shared" si="2"/>
        <v>36.332046332046332</v>
      </c>
      <c r="H24" s="194">
        <v>132</v>
      </c>
      <c r="I24" s="178">
        <f t="shared" si="3"/>
        <v>12.301957129543336</v>
      </c>
      <c r="J24" s="194">
        <v>1517</v>
      </c>
      <c r="K24" s="178">
        <f t="shared" si="4"/>
        <v>58.571428571428577</v>
      </c>
      <c r="L24" s="178">
        <f t="shared" si="5"/>
        <v>1.4137931034482758</v>
      </c>
      <c r="M24" s="194">
        <v>410</v>
      </c>
      <c r="N24" s="178">
        <f t="shared" si="6"/>
        <v>15.83011583011583</v>
      </c>
      <c r="O24" s="194">
        <f t="shared" si="7"/>
        <v>2180</v>
      </c>
      <c r="P24" s="178">
        <f t="shared" si="8"/>
        <v>49.220183486238533</v>
      </c>
      <c r="Q24" s="194">
        <v>1602</v>
      </c>
      <c r="R24" s="178">
        <f t="shared" si="9"/>
        <v>58.73907615480649</v>
      </c>
      <c r="S24" s="194">
        <v>1944</v>
      </c>
      <c r="T24" s="178">
        <f t="shared" si="10"/>
        <v>6.7901234567901234</v>
      </c>
    </row>
    <row r="25" spans="1:20">
      <c r="A25" s="167">
        <v>42117</v>
      </c>
      <c r="B25" s="181" t="s">
        <v>24</v>
      </c>
      <c r="C25" s="194">
        <v>764</v>
      </c>
      <c r="D25" s="194">
        <f t="shared" si="0"/>
        <v>299</v>
      </c>
      <c r="E25" s="178">
        <f t="shared" si="1"/>
        <v>39.136125654450261</v>
      </c>
      <c r="F25" s="194">
        <v>273</v>
      </c>
      <c r="G25" s="178">
        <f t="shared" si="2"/>
        <v>35.732984293193716</v>
      </c>
      <c r="H25" s="194">
        <v>26</v>
      </c>
      <c r="I25" s="178">
        <f t="shared" si="3"/>
        <v>8.695652173913043</v>
      </c>
      <c r="J25" s="194">
        <v>465</v>
      </c>
      <c r="K25" s="178">
        <f t="shared" si="4"/>
        <v>60.863874345549739</v>
      </c>
      <c r="L25" s="178">
        <f t="shared" si="5"/>
        <v>1.5551839464882944</v>
      </c>
      <c r="M25" s="194">
        <v>65</v>
      </c>
      <c r="N25" s="178">
        <f t="shared" si="6"/>
        <v>8.5078534031413611</v>
      </c>
      <c r="O25" s="194">
        <f t="shared" si="7"/>
        <v>699</v>
      </c>
      <c r="P25" s="178">
        <f t="shared" si="8"/>
        <v>42.775393419170243</v>
      </c>
      <c r="Q25" s="194">
        <v>508</v>
      </c>
      <c r="R25" s="178">
        <f t="shared" si="9"/>
        <v>53.740157480314963</v>
      </c>
      <c r="S25" s="194">
        <v>610</v>
      </c>
      <c r="T25" s="178">
        <f t="shared" si="10"/>
        <v>4.2622950819672125</v>
      </c>
    </row>
    <row r="26" spans="1:20">
      <c r="A26" s="167">
        <v>42118</v>
      </c>
      <c r="B26" s="181" t="s">
        <v>25</v>
      </c>
      <c r="C26" s="194">
        <v>478</v>
      </c>
      <c r="D26" s="194">
        <f t="shared" si="0"/>
        <v>234</v>
      </c>
      <c r="E26" s="178">
        <f t="shared" si="1"/>
        <v>48.953974895397486</v>
      </c>
      <c r="F26" s="194">
        <v>191</v>
      </c>
      <c r="G26" s="178">
        <f t="shared" si="2"/>
        <v>39.9581589958159</v>
      </c>
      <c r="H26" s="194">
        <v>43</v>
      </c>
      <c r="I26" s="178">
        <f t="shared" si="3"/>
        <v>18.376068376068378</v>
      </c>
      <c r="J26" s="194">
        <v>244</v>
      </c>
      <c r="K26" s="178">
        <f t="shared" si="4"/>
        <v>51.046025104602514</v>
      </c>
      <c r="L26" s="178">
        <f t="shared" si="5"/>
        <v>1.0427350427350428</v>
      </c>
      <c r="M26" s="194">
        <v>67</v>
      </c>
      <c r="N26" s="178">
        <f t="shared" si="6"/>
        <v>14.01673640167364</v>
      </c>
      <c r="O26" s="194">
        <f t="shared" si="7"/>
        <v>411</v>
      </c>
      <c r="P26" s="178">
        <f t="shared" si="8"/>
        <v>56.934306569343065</v>
      </c>
      <c r="Q26" s="194">
        <v>305</v>
      </c>
      <c r="R26" s="178">
        <f t="shared" si="9"/>
        <v>62.622950819672127</v>
      </c>
      <c r="S26" s="194">
        <v>388</v>
      </c>
      <c r="T26" s="178">
        <f t="shared" si="10"/>
        <v>11.082474226804123</v>
      </c>
    </row>
    <row r="27" spans="1:20">
      <c r="A27" s="167">
        <v>42201</v>
      </c>
      <c r="B27" s="181" t="s">
        <v>26</v>
      </c>
      <c r="C27" s="194">
        <v>1973</v>
      </c>
      <c r="D27" s="194">
        <f t="shared" si="0"/>
        <v>825</v>
      </c>
      <c r="E27" s="178">
        <f t="shared" si="1"/>
        <v>41.814495691839838</v>
      </c>
      <c r="F27" s="194">
        <v>737</v>
      </c>
      <c r="G27" s="178">
        <f t="shared" si="2"/>
        <v>37.354282818043586</v>
      </c>
      <c r="H27" s="194">
        <v>88</v>
      </c>
      <c r="I27" s="178">
        <f t="shared" si="3"/>
        <v>10.666666666666668</v>
      </c>
      <c r="J27" s="194">
        <v>1148</v>
      </c>
      <c r="K27" s="178">
        <f t="shared" si="4"/>
        <v>58.185504308160162</v>
      </c>
      <c r="L27" s="178">
        <f t="shared" si="5"/>
        <v>1.3915151515151516</v>
      </c>
      <c r="M27" s="194">
        <v>265</v>
      </c>
      <c r="N27" s="178">
        <f t="shared" si="6"/>
        <v>13.431322858590978</v>
      </c>
      <c r="O27" s="194">
        <f t="shared" si="7"/>
        <v>1708</v>
      </c>
      <c r="P27" s="178">
        <f t="shared" si="8"/>
        <v>48.302107728337234</v>
      </c>
      <c r="Q27" s="194">
        <v>1087</v>
      </c>
      <c r="R27" s="178">
        <f t="shared" si="9"/>
        <v>67.801287948482056</v>
      </c>
      <c r="S27" s="194">
        <v>1354</v>
      </c>
      <c r="T27" s="178">
        <f t="shared" si="10"/>
        <v>6.4992614475627768</v>
      </c>
    </row>
    <row r="28" spans="1:20">
      <c r="A28" s="167">
        <v>42202</v>
      </c>
      <c r="B28" s="181" t="s">
        <v>27</v>
      </c>
      <c r="C28" s="194">
        <v>271</v>
      </c>
      <c r="D28" s="194">
        <f t="shared" si="0"/>
        <v>111</v>
      </c>
      <c r="E28" s="178">
        <f t="shared" si="1"/>
        <v>40.959409594095945</v>
      </c>
      <c r="F28" s="194">
        <v>99</v>
      </c>
      <c r="G28" s="178">
        <f t="shared" si="2"/>
        <v>36.531365313653133</v>
      </c>
      <c r="H28" s="194">
        <v>12</v>
      </c>
      <c r="I28" s="178">
        <f t="shared" si="3"/>
        <v>10.810810810810811</v>
      </c>
      <c r="J28" s="194">
        <v>160</v>
      </c>
      <c r="K28" s="178">
        <f t="shared" si="4"/>
        <v>59.040590405904055</v>
      </c>
      <c r="L28" s="178">
        <f t="shared" si="5"/>
        <v>1.4414414414414414</v>
      </c>
      <c r="M28" s="194">
        <v>22</v>
      </c>
      <c r="N28" s="178">
        <f t="shared" si="6"/>
        <v>8.1180811808118083</v>
      </c>
      <c r="O28" s="194">
        <f t="shared" si="7"/>
        <v>249</v>
      </c>
      <c r="P28" s="178">
        <f t="shared" si="8"/>
        <v>44.578313253012048</v>
      </c>
      <c r="Q28" s="194">
        <v>156</v>
      </c>
      <c r="R28" s="178">
        <f t="shared" si="9"/>
        <v>63.46153846153846</v>
      </c>
      <c r="S28" s="194">
        <v>189</v>
      </c>
      <c r="T28" s="178">
        <f t="shared" si="10"/>
        <v>6.3492063492063489</v>
      </c>
    </row>
    <row r="29" spans="1:20">
      <c r="A29" s="167">
        <v>42203</v>
      </c>
      <c r="B29" s="181" t="s">
        <v>28</v>
      </c>
      <c r="C29" s="194">
        <v>9209</v>
      </c>
      <c r="D29" s="194">
        <f t="shared" si="0"/>
        <v>3482</v>
      </c>
      <c r="E29" s="178">
        <f t="shared" si="1"/>
        <v>37.810837224454339</v>
      </c>
      <c r="F29" s="194">
        <v>3024</v>
      </c>
      <c r="G29" s="178">
        <f t="shared" si="2"/>
        <v>32.83744163318493</v>
      </c>
      <c r="H29" s="194">
        <v>458</v>
      </c>
      <c r="I29" s="178">
        <f t="shared" si="3"/>
        <v>13.153360137851811</v>
      </c>
      <c r="J29" s="194">
        <v>5657</v>
      </c>
      <c r="K29" s="178">
        <f t="shared" si="4"/>
        <v>61.429036811814527</v>
      </c>
      <c r="L29" s="178">
        <f t="shared" si="5"/>
        <v>1.6246410109132683</v>
      </c>
      <c r="M29" s="194">
        <v>1246</v>
      </c>
      <c r="N29" s="178">
        <f t="shared" si="6"/>
        <v>13.530242154414159</v>
      </c>
      <c r="O29" s="194">
        <f t="shared" si="7"/>
        <v>7963</v>
      </c>
      <c r="P29" s="178">
        <f t="shared" si="8"/>
        <v>43.727238477960569</v>
      </c>
      <c r="Q29" s="194">
        <v>5176</v>
      </c>
      <c r="R29" s="178">
        <f t="shared" si="9"/>
        <v>58.423493044822258</v>
      </c>
      <c r="S29" s="194">
        <v>6542</v>
      </c>
      <c r="T29" s="178">
        <f t="shared" si="10"/>
        <v>7.0009171507184345</v>
      </c>
    </row>
    <row r="30" spans="1:20">
      <c r="A30" s="167">
        <v>42204</v>
      </c>
      <c r="B30" s="181" t="s">
        <v>29</v>
      </c>
      <c r="C30" s="194">
        <v>1211</v>
      </c>
      <c r="D30" s="194">
        <f t="shared" si="0"/>
        <v>456</v>
      </c>
      <c r="E30" s="178">
        <f t="shared" si="1"/>
        <v>37.65483071841453</v>
      </c>
      <c r="F30" s="194">
        <v>396</v>
      </c>
      <c r="G30" s="178">
        <f t="shared" si="2"/>
        <v>32.70024772914946</v>
      </c>
      <c r="H30" s="194">
        <v>60</v>
      </c>
      <c r="I30" s="178">
        <f t="shared" si="3"/>
        <v>13.157894736842104</v>
      </c>
      <c r="J30" s="194">
        <v>755</v>
      </c>
      <c r="K30" s="178">
        <f t="shared" si="4"/>
        <v>62.34516928158547</v>
      </c>
      <c r="L30" s="178">
        <f t="shared" si="5"/>
        <v>1.6557017543859649</v>
      </c>
      <c r="M30" s="194">
        <v>186</v>
      </c>
      <c r="N30" s="178">
        <f t="shared" si="6"/>
        <v>15.359207266721716</v>
      </c>
      <c r="O30" s="194">
        <f t="shared" si="7"/>
        <v>1025</v>
      </c>
      <c r="P30" s="178">
        <f t="shared" si="8"/>
        <v>44.487804878048784</v>
      </c>
      <c r="Q30" s="194">
        <v>756</v>
      </c>
      <c r="R30" s="178">
        <f t="shared" si="9"/>
        <v>52.380952380952387</v>
      </c>
      <c r="S30" s="194">
        <v>946</v>
      </c>
      <c r="T30" s="178">
        <f t="shared" si="10"/>
        <v>6.3424947145877377</v>
      </c>
    </row>
    <row r="31" spans="1:20">
      <c r="A31" s="167">
        <v>42206</v>
      </c>
      <c r="B31" s="181" t="s">
        <v>30</v>
      </c>
      <c r="C31" s="194">
        <v>167</v>
      </c>
      <c r="D31" s="194">
        <f t="shared" si="0"/>
        <v>76</v>
      </c>
      <c r="E31" s="178">
        <f t="shared" si="1"/>
        <v>45.508982035928142</v>
      </c>
      <c r="F31" s="194">
        <v>69</v>
      </c>
      <c r="G31" s="178">
        <f t="shared" si="2"/>
        <v>41.317365269461078</v>
      </c>
      <c r="H31" s="194">
        <v>7</v>
      </c>
      <c r="I31" s="178">
        <f t="shared" si="3"/>
        <v>9.2105263157894726</v>
      </c>
      <c r="J31" s="194">
        <v>91</v>
      </c>
      <c r="K31" s="178">
        <f t="shared" si="4"/>
        <v>54.491017964071851</v>
      </c>
      <c r="L31" s="178">
        <f t="shared" si="5"/>
        <v>1.1973684210526316</v>
      </c>
      <c r="M31" s="194">
        <v>18</v>
      </c>
      <c r="N31" s="178">
        <f t="shared" si="6"/>
        <v>10.778443113772456</v>
      </c>
      <c r="O31" s="194">
        <f t="shared" si="7"/>
        <v>149</v>
      </c>
      <c r="P31" s="178">
        <f t="shared" si="8"/>
        <v>51.006711409395976</v>
      </c>
      <c r="Q31" s="194">
        <v>91</v>
      </c>
      <c r="R31" s="178">
        <f t="shared" si="9"/>
        <v>75.824175824175825</v>
      </c>
      <c r="S31" s="194">
        <v>117</v>
      </c>
      <c r="T31" s="178">
        <f t="shared" si="10"/>
        <v>5.982905982905983</v>
      </c>
    </row>
    <row r="32" spans="1:20">
      <c r="A32" s="167">
        <v>42207</v>
      </c>
      <c r="B32" s="181" t="s">
        <v>31</v>
      </c>
      <c r="C32" s="194">
        <v>141</v>
      </c>
      <c r="D32" s="194">
        <f t="shared" si="0"/>
        <v>70</v>
      </c>
      <c r="E32" s="178">
        <f t="shared" si="1"/>
        <v>49.645390070921984</v>
      </c>
      <c r="F32" s="194">
        <v>64</v>
      </c>
      <c r="G32" s="178">
        <f t="shared" si="2"/>
        <v>45.390070921985817</v>
      </c>
      <c r="H32" s="194">
        <v>6</v>
      </c>
      <c r="I32" s="178">
        <f t="shared" si="3"/>
        <v>8.5714285714285712</v>
      </c>
      <c r="J32" s="194">
        <v>71</v>
      </c>
      <c r="K32" s="178">
        <f t="shared" si="4"/>
        <v>50.354609929078009</v>
      </c>
      <c r="L32" s="178">
        <f t="shared" si="5"/>
        <v>1.0142857142857142</v>
      </c>
      <c r="M32" s="194">
        <v>15</v>
      </c>
      <c r="N32" s="178">
        <f t="shared" si="6"/>
        <v>10.638297872340425</v>
      </c>
      <c r="O32" s="194">
        <f t="shared" si="7"/>
        <v>126</v>
      </c>
      <c r="P32" s="178">
        <f t="shared" si="8"/>
        <v>55.555555555555557</v>
      </c>
      <c r="Q32" s="194">
        <v>87</v>
      </c>
      <c r="R32" s="178">
        <f t="shared" si="9"/>
        <v>73.563218390804593</v>
      </c>
      <c r="S32" s="194">
        <v>98</v>
      </c>
      <c r="T32" s="178">
        <f t="shared" si="10"/>
        <v>6.1224489795918364</v>
      </c>
    </row>
    <row r="33" spans="1:20">
      <c r="A33" s="167">
        <v>42208</v>
      </c>
      <c r="B33" s="181" t="s">
        <v>32</v>
      </c>
      <c r="C33" s="194">
        <v>15097</v>
      </c>
      <c r="D33" s="194">
        <f t="shared" si="0"/>
        <v>7508</v>
      </c>
      <c r="E33" s="178">
        <f t="shared" si="1"/>
        <v>49.73173478174472</v>
      </c>
      <c r="F33" s="194">
        <v>6555</v>
      </c>
      <c r="G33" s="178">
        <f t="shared" si="2"/>
        <v>43.419222362058683</v>
      </c>
      <c r="H33" s="194">
        <v>953</v>
      </c>
      <c r="I33" s="178">
        <f t="shared" si="3"/>
        <v>12.693127330847096</v>
      </c>
      <c r="J33" s="194">
        <v>7589</v>
      </c>
      <c r="K33" s="178">
        <f t="shared" si="4"/>
        <v>50.26826521825528</v>
      </c>
      <c r="L33" s="178">
        <f t="shared" si="5"/>
        <v>1.0107884922749069</v>
      </c>
      <c r="M33" s="194">
        <v>2691</v>
      </c>
      <c r="N33" s="178">
        <f t="shared" si="6"/>
        <v>17.824733390739883</v>
      </c>
      <c r="O33" s="194">
        <f t="shared" si="7"/>
        <v>12406</v>
      </c>
      <c r="P33" s="178">
        <f t="shared" si="8"/>
        <v>60.519103659519594</v>
      </c>
      <c r="Q33" s="194">
        <v>9884</v>
      </c>
      <c r="R33" s="178">
        <f t="shared" si="9"/>
        <v>66.319303925536218</v>
      </c>
      <c r="S33" s="194">
        <v>11569</v>
      </c>
      <c r="T33" s="178">
        <f t="shared" si="10"/>
        <v>8.23753133373671</v>
      </c>
    </row>
    <row r="34" spans="1:20">
      <c r="A34" s="167">
        <v>42209</v>
      </c>
      <c r="B34" s="181" t="s">
        <v>33</v>
      </c>
      <c r="C34" s="194">
        <v>319</v>
      </c>
      <c r="D34" s="194">
        <f t="shared" si="0"/>
        <v>94</v>
      </c>
      <c r="E34" s="178">
        <f t="shared" si="1"/>
        <v>29.467084639498431</v>
      </c>
      <c r="F34" s="194">
        <v>72</v>
      </c>
      <c r="G34" s="178">
        <f t="shared" si="2"/>
        <v>22.570532915360502</v>
      </c>
      <c r="H34" s="194">
        <v>22</v>
      </c>
      <c r="I34" s="178">
        <f t="shared" si="3"/>
        <v>23.404255319148938</v>
      </c>
      <c r="J34" s="194">
        <v>225</v>
      </c>
      <c r="K34" s="178">
        <f t="shared" si="4"/>
        <v>70.532915360501562</v>
      </c>
      <c r="L34" s="178">
        <f t="shared" si="5"/>
        <v>2.3936170212765959</v>
      </c>
      <c r="M34" s="194">
        <v>37</v>
      </c>
      <c r="N34" s="178">
        <f t="shared" si="6"/>
        <v>11.598746081504702</v>
      </c>
      <c r="O34" s="194">
        <f t="shared" si="7"/>
        <v>282</v>
      </c>
      <c r="P34" s="178">
        <f t="shared" si="8"/>
        <v>33.333333333333329</v>
      </c>
      <c r="Q34" s="194">
        <v>181</v>
      </c>
      <c r="R34" s="178">
        <f t="shared" si="9"/>
        <v>39.77900552486188</v>
      </c>
      <c r="S34" s="194">
        <v>236</v>
      </c>
      <c r="T34" s="178">
        <f t="shared" si="10"/>
        <v>9.3220338983050848</v>
      </c>
    </row>
    <row r="35" spans="1:20">
      <c r="A35" s="167">
        <v>42210</v>
      </c>
      <c r="B35" s="181" t="s">
        <v>34</v>
      </c>
      <c r="C35" s="194">
        <v>2024</v>
      </c>
      <c r="D35" s="194">
        <f t="shared" si="0"/>
        <v>986</v>
      </c>
      <c r="E35" s="178">
        <f t="shared" si="1"/>
        <v>48.715415019762851</v>
      </c>
      <c r="F35" s="194">
        <v>880</v>
      </c>
      <c r="G35" s="178">
        <f t="shared" si="2"/>
        <v>43.478260869565219</v>
      </c>
      <c r="H35" s="194">
        <v>106</v>
      </c>
      <c r="I35" s="178">
        <f t="shared" si="3"/>
        <v>10.750507099391481</v>
      </c>
      <c r="J35" s="194">
        <v>1038</v>
      </c>
      <c r="K35" s="178">
        <f t="shared" si="4"/>
        <v>51.284584980237156</v>
      </c>
      <c r="L35" s="178">
        <f t="shared" si="5"/>
        <v>1.052738336713996</v>
      </c>
      <c r="M35" s="194">
        <v>280</v>
      </c>
      <c r="N35" s="178">
        <f t="shared" si="6"/>
        <v>13.83399209486166</v>
      </c>
      <c r="O35" s="194">
        <f t="shared" si="7"/>
        <v>1744</v>
      </c>
      <c r="P35" s="178">
        <f t="shared" si="8"/>
        <v>56.536697247706428</v>
      </c>
      <c r="Q35" s="194">
        <v>1335</v>
      </c>
      <c r="R35" s="178">
        <f t="shared" ref="R35:R50" si="11">(F35/Q35)*100</f>
        <v>65.917602996254672</v>
      </c>
      <c r="S35" s="194">
        <v>1601</v>
      </c>
      <c r="T35" s="178">
        <f t="shared" ref="T35:T50" si="12">(H35/S35)*100</f>
        <v>6.620861961274203</v>
      </c>
    </row>
    <row r="36" spans="1:20">
      <c r="A36" s="167">
        <v>42211</v>
      </c>
      <c r="B36" s="181" t="s">
        <v>35</v>
      </c>
      <c r="C36" s="194">
        <v>2452</v>
      </c>
      <c r="D36" s="194">
        <f t="shared" si="0"/>
        <v>985</v>
      </c>
      <c r="E36" s="178">
        <f t="shared" si="1"/>
        <v>40.171288743882542</v>
      </c>
      <c r="F36" s="194">
        <v>893</v>
      </c>
      <c r="G36" s="178">
        <f t="shared" si="2"/>
        <v>36.419249592169656</v>
      </c>
      <c r="H36" s="194">
        <v>92</v>
      </c>
      <c r="I36" s="178">
        <f t="shared" si="3"/>
        <v>9.3401015228426392</v>
      </c>
      <c r="J36" s="194">
        <v>1467</v>
      </c>
      <c r="K36" s="178">
        <f t="shared" si="4"/>
        <v>59.828711256117451</v>
      </c>
      <c r="L36" s="178">
        <f t="shared" si="5"/>
        <v>1.4893401015228427</v>
      </c>
      <c r="M36" s="194">
        <v>445</v>
      </c>
      <c r="N36" s="178">
        <f t="shared" si="6"/>
        <v>18.148450244698207</v>
      </c>
      <c r="O36" s="194">
        <f t="shared" si="7"/>
        <v>2007</v>
      </c>
      <c r="P36" s="178">
        <f t="shared" si="8"/>
        <v>49.078226208271055</v>
      </c>
      <c r="Q36" s="194">
        <v>1439</v>
      </c>
      <c r="R36" s="178">
        <f t="shared" si="11"/>
        <v>62.05698401667825</v>
      </c>
      <c r="S36" s="194">
        <v>1788</v>
      </c>
      <c r="T36" s="178">
        <f t="shared" si="12"/>
        <v>5.1454138702460845</v>
      </c>
    </row>
    <row r="37" spans="1:20">
      <c r="A37" s="167">
        <v>42212</v>
      </c>
      <c r="B37" s="181" t="s">
        <v>36</v>
      </c>
      <c r="C37" s="194">
        <v>910</v>
      </c>
      <c r="D37" s="194">
        <f t="shared" si="0"/>
        <v>219</v>
      </c>
      <c r="E37" s="178">
        <f t="shared" si="1"/>
        <v>24.065934065934066</v>
      </c>
      <c r="F37" s="194">
        <v>199</v>
      </c>
      <c r="G37" s="178">
        <f t="shared" si="2"/>
        <v>21.868131868131869</v>
      </c>
      <c r="H37" s="194">
        <v>20</v>
      </c>
      <c r="I37" s="178">
        <f t="shared" si="3"/>
        <v>9.1324200913241995</v>
      </c>
      <c r="J37" s="194">
        <v>691</v>
      </c>
      <c r="K37" s="178">
        <f t="shared" si="4"/>
        <v>75.934065934065927</v>
      </c>
      <c r="L37" s="178">
        <f t="shared" si="5"/>
        <v>3.1552511415525113</v>
      </c>
      <c r="M37" s="194">
        <v>51</v>
      </c>
      <c r="N37" s="178">
        <f t="shared" si="6"/>
        <v>5.6043956043956049</v>
      </c>
      <c r="O37" s="194">
        <f t="shared" si="7"/>
        <v>859</v>
      </c>
      <c r="P37" s="178">
        <f t="shared" si="8"/>
        <v>25.494761350407451</v>
      </c>
      <c r="Q37" s="194">
        <v>466</v>
      </c>
      <c r="R37" s="178">
        <f t="shared" si="11"/>
        <v>42.70386266094421</v>
      </c>
      <c r="S37" s="194">
        <v>681</v>
      </c>
      <c r="T37" s="178">
        <f t="shared" si="12"/>
        <v>2.9368575624082229</v>
      </c>
    </row>
    <row r="38" spans="1:20">
      <c r="A38" s="167">
        <v>42213</v>
      </c>
      <c r="B38" s="181" t="s">
        <v>37</v>
      </c>
      <c r="C38" s="194">
        <v>399</v>
      </c>
      <c r="D38" s="194">
        <f t="shared" si="0"/>
        <v>208</v>
      </c>
      <c r="E38" s="178">
        <f t="shared" si="1"/>
        <v>52.130325814536334</v>
      </c>
      <c r="F38" s="194">
        <v>198</v>
      </c>
      <c r="G38" s="178">
        <f t="shared" si="2"/>
        <v>49.624060150375939</v>
      </c>
      <c r="H38" s="194">
        <v>10</v>
      </c>
      <c r="I38" s="178">
        <f t="shared" si="3"/>
        <v>4.8076923076923084</v>
      </c>
      <c r="J38" s="194">
        <v>191</v>
      </c>
      <c r="K38" s="178">
        <f t="shared" si="4"/>
        <v>47.869674185463658</v>
      </c>
      <c r="L38" s="178">
        <f t="shared" si="5"/>
        <v>0.91826923076923073</v>
      </c>
      <c r="M38" s="194">
        <v>50</v>
      </c>
      <c r="N38" s="178">
        <f t="shared" si="6"/>
        <v>12.531328320802004</v>
      </c>
      <c r="O38" s="194">
        <f t="shared" si="7"/>
        <v>349</v>
      </c>
      <c r="P38" s="178">
        <f t="shared" si="8"/>
        <v>59.598853868194844</v>
      </c>
      <c r="Q38" s="194">
        <v>260</v>
      </c>
      <c r="R38" s="178">
        <f t="shared" si="11"/>
        <v>76.153846153846146</v>
      </c>
      <c r="S38" s="194">
        <v>317</v>
      </c>
      <c r="T38" s="178">
        <f t="shared" si="12"/>
        <v>3.1545741324921135</v>
      </c>
    </row>
    <row r="39" spans="1:20">
      <c r="A39" s="167">
        <v>42214</v>
      </c>
      <c r="B39" s="181" t="s">
        <v>38</v>
      </c>
      <c r="C39" s="194">
        <v>1456</v>
      </c>
      <c r="D39" s="194">
        <f t="shared" si="0"/>
        <v>599</v>
      </c>
      <c r="E39" s="178">
        <f t="shared" si="1"/>
        <v>41.140109890109891</v>
      </c>
      <c r="F39" s="194">
        <v>551</v>
      </c>
      <c r="G39" s="178">
        <f t="shared" si="2"/>
        <v>37.843406593406591</v>
      </c>
      <c r="H39" s="194">
        <v>48</v>
      </c>
      <c r="I39" s="178">
        <f t="shared" si="3"/>
        <v>8.013355592654424</v>
      </c>
      <c r="J39" s="194">
        <v>857</v>
      </c>
      <c r="K39" s="178">
        <f t="shared" si="4"/>
        <v>58.859890109890109</v>
      </c>
      <c r="L39" s="178">
        <f t="shared" si="5"/>
        <v>1.4307178631051753</v>
      </c>
      <c r="M39" s="194">
        <v>170</v>
      </c>
      <c r="N39" s="178">
        <f t="shared" si="6"/>
        <v>11.675824175824175</v>
      </c>
      <c r="O39" s="194">
        <f t="shared" si="7"/>
        <v>1286</v>
      </c>
      <c r="P39" s="178">
        <f t="shared" si="8"/>
        <v>46.578538102643854</v>
      </c>
      <c r="Q39" s="194">
        <v>864</v>
      </c>
      <c r="R39" s="178">
        <f t="shared" si="11"/>
        <v>63.773148148148152</v>
      </c>
      <c r="S39" s="194">
        <v>1107</v>
      </c>
      <c r="T39" s="178">
        <f t="shared" si="12"/>
        <v>4.3360433604336039</v>
      </c>
    </row>
    <row r="40" spans="1:20">
      <c r="A40" s="167">
        <v>42215</v>
      </c>
      <c r="B40" s="181" t="s">
        <v>39</v>
      </c>
      <c r="C40" s="194">
        <v>4839</v>
      </c>
      <c r="D40" s="194">
        <f t="shared" si="0"/>
        <v>1904</v>
      </c>
      <c r="E40" s="178">
        <f t="shared" si="1"/>
        <v>39.34697251498244</v>
      </c>
      <c r="F40" s="194">
        <v>1737</v>
      </c>
      <c r="G40" s="178">
        <f t="shared" si="2"/>
        <v>35.895846249225045</v>
      </c>
      <c r="H40" s="194">
        <v>167</v>
      </c>
      <c r="I40" s="178">
        <f t="shared" si="3"/>
        <v>8.7710084033613445</v>
      </c>
      <c r="J40" s="194">
        <v>2935</v>
      </c>
      <c r="K40" s="178">
        <f t="shared" si="4"/>
        <v>60.65302748501756</v>
      </c>
      <c r="L40" s="178">
        <f t="shared" si="5"/>
        <v>1.5414915966386555</v>
      </c>
      <c r="M40" s="194">
        <v>668</v>
      </c>
      <c r="N40" s="178">
        <f t="shared" si="6"/>
        <v>13.804505063029552</v>
      </c>
      <c r="O40" s="194">
        <f t="shared" si="7"/>
        <v>4171</v>
      </c>
      <c r="P40" s="178">
        <f t="shared" si="8"/>
        <v>45.648525533445216</v>
      </c>
      <c r="Q40" s="194">
        <v>2806</v>
      </c>
      <c r="R40" s="178">
        <f t="shared" si="11"/>
        <v>61.903064861012112</v>
      </c>
      <c r="S40" s="194">
        <v>3573</v>
      </c>
      <c r="T40" s="178">
        <f t="shared" si="12"/>
        <v>4.673943464875455</v>
      </c>
    </row>
    <row r="41" spans="1:20">
      <c r="A41" s="167">
        <v>42216</v>
      </c>
      <c r="B41" s="181" t="s">
        <v>40</v>
      </c>
      <c r="C41" s="194">
        <v>10134</v>
      </c>
      <c r="D41" s="194">
        <f t="shared" si="0"/>
        <v>5555</v>
      </c>
      <c r="E41" s="178">
        <f t="shared" si="1"/>
        <v>54.815472666271958</v>
      </c>
      <c r="F41" s="194">
        <v>4943</v>
      </c>
      <c r="G41" s="178">
        <f t="shared" si="2"/>
        <v>48.776396289717781</v>
      </c>
      <c r="H41" s="194">
        <v>612</v>
      </c>
      <c r="I41" s="178">
        <f t="shared" si="3"/>
        <v>11.017101710171016</v>
      </c>
      <c r="J41" s="194">
        <v>4579</v>
      </c>
      <c r="K41" s="178">
        <f t="shared" si="4"/>
        <v>45.184527333728042</v>
      </c>
      <c r="L41" s="178">
        <f t="shared" si="5"/>
        <v>0.8243024302430243</v>
      </c>
      <c r="M41" s="194">
        <v>1776</v>
      </c>
      <c r="N41" s="178">
        <f t="shared" si="6"/>
        <v>17.525162818235643</v>
      </c>
      <c r="O41" s="194">
        <f t="shared" si="7"/>
        <v>8358</v>
      </c>
      <c r="P41" s="178">
        <f t="shared" si="8"/>
        <v>66.463268724575258</v>
      </c>
      <c r="Q41" s="194">
        <v>6793</v>
      </c>
      <c r="R41" s="178">
        <f t="shared" si="11"/>
        <v>72.766082732224348</v>
      </c>
      <c r="S41" s="194">
        <v>7866</v>
      </c>
      <c r="T41" s="178">
        <f t="shared" si="12"/>
        <v>7.7803203661327229</v>
      </c>
    </row>
    <row r="42" spans="1:20">
      <c r="A42" s="167">
        <v>42217</v>
      </c>
      <c r="B42" s="181" t="s">
        <v>41</v>
      </c>
      <c r="C42" s="194">
        <v>17970</v>
      </c>
      <c r="D42" s="194">
        <f t="shared" si="0"/>
        <v>7283</v>
      </c>
      <c r="E42" s="178">
        <f t="shared" si="1"/>
        <v>40.528658875904284</v>
      </c>
      <c r="F42" s="194">
        <v>6101</v>
      </c>
      <c r="G42" s="178">
        <f t="shared" si="2"/>
        <v>33.951029493600444</v>
      </c>
      <c r="H42" s="194">
        <v>1182</v>
      </c>
      <c r="I42" s="178">
        <f t="shared" si="3"/>
        <v>16.22957572428944</v>
      </c>
      <c r="J42" s="194">
        <v>10648</v>
      </c>
      <c r="K42" s="178">
        <f t="shared" si="4"/>
        <v>59.254312743461327</v>
      </c>
      <c r="L42" s="178">
        <f t="shared" si="5"/>
        <v>1.4620348757380202</v>
      </c>
      <c r="M42" s="194">
        <v>3056</v>
      </c>
      <c r="N42" s="178">
        <f t="shared" si="6"/>
        <v>17.006121313299943</v>
      </c>
      <c r="O42" s="194">
        <f t="shared" si="7"/>
        <v>14914</v>
      </c>
      <c r="P42" s="178">
        <f t="shared" si="8"/>
        <v>48.833310982969024</v>
      </c>
      <c r="Q42" s="194">
        <v>10476</v>
      </c>
      <c r="R42" s="178">
        <f t="shared" si="11"/>
        <v>58.23787705231004</v>
      </c>
      <c r="S42" s="194">
        <v>12982</v>
      </c>
      <c r="T42" s="178">
        <f t="shared" si="12"/>
        <v>9.1049144969958409</v>
      </c>
    </row>
    <row r="43" spans="1:20">
      <c r="A43" s="167">
        <v>42218</v>
      </c>
      <c r="B43" s="181" t="s">
        <v>42</v>
      </c>
      <c r="C43" s="194">
        <v>13715</v>
      </c>
      <c r="D43" s="194">
        <f t="shared" si="0"/>
        <v>6082</v>
      </c>
      <c r="E43" s="178">
        <f t="shared" si="1"/>
        <v>44.345606999635436</v>
      </c>
      <c r="F43" s="194">
        <v>5376</v>
      </c>
      <c r="G43" s="178">
        <f t="shared" si="2"/>
        <v>39.197958439664596</v>
      </c>
      <c r="H43" s="194">
        <v>706</v>
      </c>
      <c r="I43" s="178">
        <f t="shared" si="3"/>
        <v>11.60802367642223</v>
      </c>
      <c r="J43" s="194">
        <v>7633</v>
      </c>
      <c r="K43" s="178">
        <f t="shared" si="4"/>
        <v>55.654393000364564</v>
      </c>
      <c r="L43" s="178">
        <f t="shared" si="5"/>
        <v>1.2550147977638935</v>
      </c>
      <c r="M43" s="194">
        <v>2250</v>
      </c>
      <c r="N43" s="178">
        <f t="shared" si="6"/>
        <v>16.405395552314982</v>
      </c>
      <c r="O43" s="194">
        <f t="shared" si="7"/>
        <v>11465</v>
      </c>
      <c r="P43" s="178">
        <f t="shared" si="8"/>
        <v>53.048408198866113</v>
      </c>
      <c r="Q43" s="194">
        <v>8325</v>
      </c>
      <c r="R43" s="178">
        <f t="shared" si="11"/>
        <v>64.576576576576571</v>
      </c>
      <c r="S43" s="194">
        <v>10324</v>
      </c>
      <c r="T43" s="178">
        <f t="shared" si="12"/>
        <v>6.838434715226656</v>
      </c>
    </row>
    <row r="44" spans="1:20">
      <c r="A44" s="167">
        <v>42219</v>
      </c>
      <c r="B44" s="181" t="s">
        <v>43</v>
      </c>
      <c r="C44" s="194">
        <v>1420</v>
      </c>
      <c r="D44" s="194">
        <f t="shared" si="0"/>
        <v>543</v>
      </c>
      <c r="E44" s="178">
        <f t="shared" si="1"/>
        <v>38.239436619718312</v>
      </c>
      <c r="F44" s="194">
        <v>484</v>
      </c>
      <c r="G44" s="178">
        <f t="shared" si="2"/>
        <v>34.08450704225352</v>
      </c>
      <c r="H44" s="194">
        <v>59</v>
      </c>
      <c r="I44" s="178">
        <f t="shared" si="3"/>
        <v>10.865561694290976</v>
      </c>
      <c r="J44" s="194">
        <v>877</v>
      </c>
      <c r="K44" s="178">
        <f t="shared" si="4"/>
        <v>61.760563380281688</v>
      </c>
      <c r="L44" s="178">
        <f t="shared" si="5"/>
        <v>1.6151012891344383</v>
      </c>
      <c r="M44" s="194">
        <v>168</v>
      </c>
      <c r="N44" s="178">
        <f t="shared" si="6"/>
        <v>11.830985915492958</v>
      </c>
      <c r="O44" s="194">
        <f t="shared" si="7"/>
        <v>1252</v>
      </c>
      <c r="P44" s="178">
        <f t="shared" si="8"/>
        <v>43.370607028753994</v>
      </c>
      <c r="Q44" s="194">
        <v>708</v>
      </c>
      <c r="R44" s="178">
        <f t="shared" si="11"/>
        <v>68.361581920903959</v>
      </c>
      <c r="S44" s="194">
        <v>1004</v>
      </c>
      <c r="T44" s="178">
        <f t="shared" si="12"/>
        <v>5.8764940239043826</v>
      </c>
    </row>
    <row r="45" spans="1:20">
      <c r="A45" s="167">
        <v>42220</v>
      </c>
      <c r="B45" s="181" t="s">
        <v>44</v>
      </c>
      <c r="C45" s="194">
        <v>227</v>
      </c>
      <c r="D45" s="194">
        <f t="shared" si="0"/>
        <v>115</v>
      </c>
      <c r="E45" s="178">
        <f t="shared" si="1"/>
        <v>50.660792951541858</v>
      </c>
      <c r="F45" s="194">
        <v>103</v>
      </c>
      <c r="G45" s="178">
        <f t="shared" si="2"/>
        <v>45.374449339207047</v>
      </c>
      <c r="H45" s="194">
        <v>12</v>
      </c>
      <c r="I45" s="178">
        <f t="shared" si="3"/>
        <v>10.434782608695652</v>
      </c>
      <c r="J45" s="194">
        <v>112</v>
      </c>
      <c r="K45" s="178">
        <f t="shared" si="4"/>
        <v>49.33920704845815</v>
      </c>
      <c r="L45" s="178">
        <f t="shared" si="5"/>
        <v>0.97391304347826091</v>
      </c>
      <c r="M45" s="194">
        <v>23</v>
      </c>
      <c r="N45" s="178">
        <f t="shared" si="6"/>
        <v>10.13215859030837</v>
      </c>
      <c r="O45" s="194">
        <f t="shared" si="7"/>
        <v>204</v>
      </c>
      <c r="P45" s="178">
        <f t="shared" si="8"/>
        <v>56.372549019607845</v>
      </c>
      <c r="Q45" s="194">
        <v>129</v>
      </c>
      <c r="R45" s="178">
        <f t="shared" si="11"/>
        <v>79.84496124031007</v>
      </c>
      <c r="S45" s="194">
        <v>150</v>
      </c>
      <c r="T45" s="178">
        <f t="shared" si="12"/>
        <v>8</v>
      </c>
    </row>
    <row r="46" spans="1:20">
      <c r="A46" s="167">
        <v>42221</v>
      </c>
      <c r="B46" s="181" t="s">
        <v>45</v>
      </c>
      <c r="C46" s="194">
        <v>273</v>
      </c>
      <c r="D46" s="194">
        <f t="shared" si="0"/>
        <v>101</v>
      </c>
      <c r="E46" s="178">
        <f t="shared" si="1"/>
        <v>36.996336996337</v>
      </c>
      <c r="F46" s="194">
        <v>86</v>
      </c>
      <c r="G46" s="178">
        <f t="shared" si="2"/>
        <v>31.5018315018315</v>
      </c>
      <c r="H46" s="194">
        <v>15</v>
      </c>
      <c r="I46" s="178">
        <f t="shared" si="3"/>
        <v>14.85148514851485</v>
      </c>
      <c r="J46" s="194">
        <v>172</v>
      </c>
      <c r="K46" s="178">
        <f t="shared" si="4"/>
        <v>63.003663003663</v>
      </c>
      <c r="L46" s="178">
        <f t="shared" si="5"/>
        <v>1.7029702970297029</v>
      </c>
      <c r="M46" s="194">
        <v>17</v>
      </c>
      <c r="N46" s="178">
        <f t="shared" si="6"/>
        <v>6.2271062271062272</v>
      </c>
      <c r="O46" s="194">
        <f t="shared" si="7"/>
        <v>256</v>
      </c>
      <c r="P46" s="178">
        <f t="shared" si="8"/>
        <v>39.453125</v>
      </c>
      <c r="Q46" s="194">
        <v>177</v>
      </c>
      <c r="R46" s="178">
        <f t="shared" si="11"/>
        <v>48.587570621468927</v>
      </c>
      <c r="S46" s="194">
        <v>220</v>
      </c>
      <c r="T46" s="178">
        <f t="shared" si="12"/>
        <v>6.8181818181818175</v>
      </c>
    </row>
    <row r="47" spans="1:20">
      <c r="A47" s="167">
        <v>42222</v>
      </c>
      <c r="B47" s="181" t="s">
        <v>46</v>
      </c>
      <c r="C47" s="194">
        <v>2625</v>
      </c>
      <c r="D47" s="194">
        <f t="shared" si="0"/>
        <v>983</v>
      </c>
      <c r="E47" s="178">
        <f t="shared" si="1"/>
        <v>37.44761904761905</v>
      </c>
      <c r="F47" s="194">
        <v>903</v>
      </c>
      <c r="G47" s="178">
        <f t="shared" si="2"/>
        <v>34.4</v>
      </c>
      <c r="H47" s="194">
        <v>80</v>
      </c>
      <c r="I47" s="178">
        <f t="shared" si="3"/>
        <v>8.1383519837232967</v>
      </c>
      <c r="J47" s="194">
        <v>1642</v>
      </c>
      <c r="K47" s="178">
        <f t="shared" si="4"/>
        <v>62.55238095238095</v>
      </c>
      <c r="L47" s="178">
        <f t="shared" si="5"/>
        <v>1.6703967446592065</v>
      </c>
      <c r="M47" s="194">
        <v>429</v>
      </c>
      <c r="N47" s="178">
        <f t="shared" si="6"/>
        <v>16.342857142857142</v>
      </c>
      <c r="O47" s="194">
        <f t="shared" si="7"/>
        <v>2196</v>
      </c>
      <c r="P47" s="178">
        <f t="shared" si="8"/>
        <v>44.763205828779604</v>
      </c>
      <c r="Q47" s="194">
        <v>1474</v>
      </c>
      <c r="R47" s="178">
        <f t="shared" si="11"/>
        <v>61.261872455902314</v>
      </c>
      <c r="S47" s="194">
        <v>1919</v>
      </c>
      <c r="T47" s="178">
        <f t="shared" si="12"/>
        <v>4.1688379364252217</v>
      </c>
    </row>
    <row r="48" spans="1:20">
      <c r="A48" s="167">
        <v>42223</v>
      </c>
      <c r="B48" s="181" t="s">
        <v>47</v>
      </c>
      <c r="C48" s="194">
        <v>21507</v>
      </c>
      <c r="D48" s="194">
        <f t="shared" si="0"/>
        <v>9034</v>
      </c>
      <c r="E48" s="178">
        <f t="shared" si="1"/>
        <v>42.004928627888596</v>
      </c>
      <c r="F48" s="194">
        <v>7525</v>
      </c>
      <c r="G48" s="178">
        <f t="shared" si="2"/>
        <v>34.98860836006881</v>
      </c>
      <c r="H48" s="194">
        <v>1509</v>
      </c>
      <c r="I48" s="178">
        <f t="shared" si="3"/>
        <v>16.703564312596857</v>
      </c>
      <c r="J48" s="194">
        <v>12473</v>
      </c>
      <c r="K48" s="178">
        <f t="shared" si="4"/>
        <v>57.995071372111404</v>
      </c>
      <c r="L48" s="178">
        <f t="shared" si="5"/>
        <v>1.3806730130617666</v>
      </c>
      <c r="M48" s="194">
        <v>2961</v>
      </c>
      <c r="N48" s="178">
        <f t="shared" si="6"/>
        <v>13.767610545403821</v>
      </c>
      <c r="O48" s="194">
        <f t="shared" si="7"/>
        <v>18546</v>
      </c>
      <c r="P48" s="178">
        <f t="shared" si="8"/>
        <v>48.711312412380025</v>
      </c>
      <c r="Q48" s="194">
        <v>13324</v>
      </c>
      <c r="R48" s="178">
        <f t="shared" si="11"/>
        <v>56.477033923746625</v>
      </c>
      <c r="S48" s="194">
        <v>16154</v>
      </c>
      <c r="T48" s="178">
        <f t="shared" si="12"/>
        <v>9.3413396062894645</v>
      </c>
    </row>
    <row r="49" spans="1:48">
      <c r="A49" s="167">
        <v>42224</v>
      </c>
      <c r="B49" s="181" t="s">
        <v>48</v>
      </c>
      <c r="C49" s="194">
        <v>8592</v>
      </c>
      <c r="D49" s="194">
        <f t="shared" si="0"/>
        <v>3648</v>
      </c>
      <c r="E49" s="178">
        <f t="shared" si="1"/>
        <v>42.458100558659218</v>
      </c>
      <c r="F49" s="194">
        <v>3149</v>
      </c>
      <c r="G49" s="178">
        <f t="shared" si="2"/>
        <v>36.650372439478588</v>
      </c>
      <c r="H49" s="194">
        <v>499</v>
      </c>
      <c r="I49" s="178">
        <f t="shared" si="3"/>
        <v>13.678728070175438</v>
      </c>
      <c r="J49" s="194">
        <v>4944</v>
      </c>
      <c r="K49" s="178">
        <f t="shared" si="4"/>
        <v>57.541899441340782</v>
      </c>
      <c r="L49" s="178">
        <f t="shared" si="5"/>
        <v>1.3552631578947369</v>
      </c>
      <c r="M49" s="194">
        <v>1093</v>
      </c>
      <c r="N49" s="178">
        <f t="shared" si="6"/>
        <v>12.721135940409683</v>
      </c>
      <c r="O49" s="194">
        <f t="shared" si="7"/>
        <v>7499</v>
      </c>
      <c r="P49" s="178">
        <f t="shared" si="8"/>
        <v>48.646486198159756</v>
      </c>
      <c r="Q49" s="194">
        <v>5006</v>
      </c>
      <c r="R49" s="178">
        <f t="shared" si="11"/>
        <v>62.904514582501001</v>
      </c>
      <c r="S49" s="194">
        <v>6280</v>
      </c>
      <c r="T49" s="178">
        <f t="shared" si="12"/>
        <v>7.9458598726114644</v>
      </c>
    </row>
    <row r="50" spans="1:48">
      <c r="A50" s="167">
        <v>42225</v>
      </c>
      <c r="B50" s="181" t="s">
        <v>49</v>
      </c>
      <c r="C50" s="194">
        <v>765</v>
      </c>
      <c r="D50" s="194">
        <f t="shared" si="0"/>
        <v>346</v>
      </c>
      <c r="E50" s="178">
        <f t="shared" si="1"/>
        <v>45.228758169934643</v>
      </c>
      <c r="F50" s="194">
        <v>314</v>
      </c>
      <c r="G50" s="178">
        <f t="shared" si="2"/>
        <v>41.045751633986924</v>
      </c>
      <c r="H50" s="194">
        <v>32</v>
      </c>
      <c r="I50" s="178">
        <f t="shared" si="3"/>
        <v>9.2485549132947966</v>
      </c>
      <c r="J50" s="194">
        <v>419</v>
      </c>
      <c r="K50" s="178">
        <f t="shared" si="4"/>
        <v>54.771241830065364</v>
      </c>
      <c r="L50" s="178">
        <f t="shared" si="5"/>
        <v>1.2109826589595376</v>
      </c>
      <c r="M50" s="194">
        <v>65</v>
      </c>
      <c r="N50" s="178">
        <f t="shared" si="6"/>
        <v>8.4967320261437909</v>
      </c>
      <c r="O50" s="194">
        <f t="shared" si="7"/>
        <v>700</v>
      </c>
      <c r="P50" s="178">
        <f t="shared" si="8"/>
        <v>49.428571428571431</v>
      </c>
      <c r="Q50" s="194">
        <v>458</v>
      </c>
      <c r="R50" s="178">
        <f t="shared" si="11"/>
        <v>68.558951965065503</v>
      </c>
      <c r="S50" s="194">
        <v>575</v>
      </c>
      <c r="T50" s="178">
        <f t="shared" si="12"/>
        <v>5.5652173913043477</v>
      </c>
    </row>
    <row r="51" spans="1:48">
      <c r="B51" s="270"/>
      <c r="C51" s="299"/>
      <c r="D51" s="299"/>
      <c r="E51" s="300"/>
      <c r="F51" s="299"/>
      <c r="G51" s="300"/>
      <c r="H51" s="299"/>
      <c r="I51" s="300"/>
      <c r="J51" s="299"/>
      <c r="K51" s="300"/>
      <c r="N51" s="188"/>
      <c r="P51" s="188"/>
      <c r="R51" s="188"/>
      <c r="T51" s="188"/>
    </row>
    <row r="52" spans="1:48">
      <c r="A52" s="301" t="s">
        <v>307</v>
      </c>
      <c r="B52" s="301"/>
      <c r="C52" s="301"/>
      <c r="D52" s="301"/>
      <c r="E52" s="301"/>
      <c r="F52" s="301"/>
      <c r="G52" s="301"/>
      <c r="H52" s="299"/>
      <c r="I52" s="300"/>
      <c r="J52" s="299"/>
      <c r="K52" s="300"/>
      <c r="N52" s="188"/>
      <c r="P52" s="188"/>
      <c r="R52" s="188"/>
      <c r="T52" s="188"/>
    </row>
    <row r="53" spans="1:48">
      <c r="A53" s="302" t="s">
        <v>256</v>
      </c>
      <c r="B53" s="271">
        <v>2019</v>
      </c>
      <c r="R53" s="188"/>
      <c r="T53" s="188"/>
    </row>
    <row r="54" spans="1:48" ht="76.5">
      <c r="A54" s="172" t="s">
        <v>167</v>
      </c>
      <c r="B54" s="303" t="s">
        <v>52</v>
      </c>
      <c r="C54" s="303" t="s">
        <v>78</v>
      </c>
      <c r="D54" s="303" t="s">
        <v>79</v>
      </c>
      <c r="E54" s="303" t="s">
        <v>80</v>
      </c>
      <c r="F54" s="303" t="s">
        <v>308</v>
      </c>
      <c r="G54" s="303" t="s">
        <v>258</v>
      </c>
      <c r="H54" s="303" t="s">
        <v>82</v>
      </c>
      <c r="I54" s="303" t="s">
        <v>83</v>
      </c>
      <c r="J54" s="303" t="s">
        <v>254</v>
      </c>
      <c r="K54" s="303" t="s">
        <v>263</v>
      </c>
    </row>
    <row r="55" spans="1:48">
      <c r="A55" s="304" t="s">
        <v>168</v>
      </c>
      <c r="B55" s="272">
        <v>10612.390832500001</v>
      </c>
      <c r="C55" s="273">
        <v>3911.0299924998121</v>
      </c>
      <c r="D55" s="305">
        <f>(C55/B55)*100</f>
        <v>36.853429676962584</v>
      </c>
      <c r="E55" s="273">
        <v>818.89113500000678</v>
      </c>
      <c r="F55" s="306">
        <f>(E55/J55)*100</f>
        <v>17.312983503966908</v>
      </c>
      <c r="G55" s="194">
        <v>19.2</v>
      </c>
      <c r="H55" s="307">
        <v>4373.625</v>
      </c>
      <c r="I55" s="308">
        <f>(H55/B55)*100</f>
        <v>41.212438073859445</v>
      </c>
      <c r="J55" s="273">
        <v>4729.9250000000002</v>
      </c>
      <c r="K55" s="194">
        <v>51.8</v>
      </c>
    </row>
    <row r="56" spans="1:48">
      <c r="A56" s="309" t="s">
        <v>169</v>
      </c>
      <c r="B56" s="273">
        <v>199.38382749999968</v>
      </c>
      <c r="C56" s="273">
        <v>77.187649999999962</v>
      </c>
      <c r="D56" s="305">
        <f t="shared" ref="D56:D59" si="13">(C56/B56)*100</f>
        <v>38.713094721787343</v>
      </c>
      <c r="E56" s="305">
        <v>10.8545725</v>
      </c>
      <c r="F56" s="306">
        <f t="shared" ref="F56:F59" si="14">(E56/J56)*100</f>
        <v>3.0828095711445611</v>
      </c>
      <c r="G56" s="194">
        <v>20.100000000000001</v>
      </c>
      <c r="H56" s="310">
        <v>82.6</v>
      </c>
      <c r="I56" s="308">
        <f>(H56/B56)*100</f>
        <v>41.427632840482069</v>
      </c>
      <c r="J56" s="273">
        <v>352.1</v>
      </c>
      <c r="K56" s="194">
        <v>48.5</v>
      </c>
    </row>
    <row r="57" spans="1:48">
      <c r="A57" s="309" t="s">
        <v>170</v>
      </c>
      <c r="B57" s="273">
        <v>194.69937999999991</v>
      </c>
      <c r="C57" s="273">
        <v>74.816745000000211</v>
      </c>
      <c r="D57" s="305">
        <f t="shared" si="13"/>
        <v>38.426801872712815</v>
      </c>
      <c r="E57" s="305">
        <v>16.008790000000047</v>
      </c>
      <c r="F57" s="306">
        <f t="shared" si="14"/>
        <v>4.4064932562620562</v>
      </c>
      <c r="G57" s="194">
        <v>20.2</v>
      </c>
      <c r="H57" s="310">
        <v>75.275000000000006</v>
      </c>
      <c r="I57" s="308">
        <f>(H57/B57)*100</f>
        <v>38.662167285792101</v>
      </c>
      <c r="J57" s="273">
        <v>363.29999999999995</v>
      </c>
      <c r="K57" s="194">
        <v>55</v>
      </c>
    </row>
    <row r="58" spans="1:48">
      <c r="A58" s="309" t="s">
        <v>174</v>
      </c>
      <c r="B58" s="273">
        <v>328.61100999999945</v>
      </c>
      <c r="C58" s="273">
        <v>132.97290999999964</v>
      </c>
      <c r="D58" s="305">
        <f t="shared" si="13"/>
        <v>40.465141444895551</v>
      </c>
      <c r="E58" s="305">
        <v>21.063712500000019</v>
      </c>
      <c r="F58" s="306">
        <f t="shared" si="14"/>
        <v>3.4188788346047758</v>
      </c>
      <c r="G58" s="194">
        <v>26.9</v>
      </c>
      <c r="H58" s="310">
        <v>120.175</v>
      </c>
      <c r="I58" s="308">
        <f>(H58/B58)*100</f>
        <v>36.570594515381636</v>
      </c>
      <c r="J58" s="273">
        <v>616.09999999999991</v>
      </c>
      <c r="K58" s="194">
        <v>55.9</v>
      </c>
      <c r="L58" s="194"/>
    </row>
    <row r="59" spans="1:48">
      <c r="A59" s="309" t="s">
        <v>177</v>
      </c>
      <c r="B59" s="273">
        <v>621.65135999999927</v>
      </c>
      <c r="C59" s="273">
        <v>252.98447000000175</v>
      </c>
      <c r="D59" s="305">
        <f t="shared" si="13"/>
        <v>40.695554820309901</v>
      </c>
      <c r="E59" s="305">
        <v>33.362157499999995</v>
      </c>
      <c r="F59" s="306">
        <f t="shared" si="14"/>
        <v>2.9129623242818474</v>
      </c>
      <c r="G59" s="194">
        <v>16.5</v>
      </c>
      <c r="H59" s="310">
        <v>234.6</v>
      </c>
      <c r="I59" s="308">
        <f>(H59/B59)*100</f>
        <v>37.73819460477015</v>
      </c>
      <c r="J59" s="273">
        <v>1145.3</v>
      </c>
      <c r="K59" s="194">
        <v>53.8</v>
      </c>
    </row>
    <row r="60" spans="1:48">
      <c r="A60" s="311" t="s">
        <v>277</v>
      </c>
    </row>
    <row r="61" spans="1:48">
      <c r="A61" s="311"/>
    </row>
    <row r="62" spans="1:48">
      <c r="A62" s="302" t="s">
        <v>257</v>
      </c>
      <c r="B62" s="296" t="s">
        <v>309</v>
      </c>
      <c r="C62" s="296"/>
      <c r="D62" s="296"/>
      <c r="E62" s="296"/>
      <c r="F62" s="296"/>
      <c r="G62" s="296"/>
      <c r="H62" s="296"/>
      <c r="L62" s="167"/>
      <c r="AU62" s="188"/>
      <c r="AV62" s="188"/>
    </row>
    <row r="63" spans="1:48" ht="15" customHeight="1">
      <c r="A63" s="312" t="s">
        <v>167</v>
      </c>
      <c r="B63" s="274">
        <v>2019</v>
      </c>
      <c r="C63" s="275" t="s">
        <v>262</v>
      </c>
      <c r="D63" s="275"/>
      <c r="E63" s="275"/>
      <c r="F63" s="276"/>
      <c r="G63" s="274">
        <v>2019</v>
      </c>
      <c r="H63" s="275" t="s">
        <v>261</v>
      </c>
      <c r="I63" s="275"/>
      <c r="J63" s="275"/>
      <c r="K63" s="276"/>
      <c r="L63" s="274">
        <v>2019</v>
      </c>
      <c r="M63" s="275" t="s">
        <v>260</v>
      </c>
      <c r="N63" s="275"/>
      <c r="O63" s="275"/>
      <c r="P63" s="276"/>
      <c r="Q63" s="274">
        <v>2019</v>
      </c>
      <c r="R63" s="275" t="s">
        <v>259</v>
      </c>
      <c r="S63" s="275"/>
      <c r="T63" s="275"/>
      <c r="U63" s="276"/>
      <c r="V63" s="313">
        <v>2019</v>
      </c>
      <c r="W63" s="314"/>
      <c r="X63" s="314"/>
      <c r="Y63" s="314"/>
      <c r="Z63" s="315"/>
      <c r="AU63" s="188"/>
      <c r="AV63" s="188"/>
    </row>
    <row r="64" spans="1:48" ht="25.5">
      <c r="A64" s="312"/>
      <c r="B64" s="303" t="s">
        <v>52</v>
      </c>
      <c r="C64" s="175" t="s">
        <v>254</v>
      </c>
      <c r="D64" s="175" t="s">
        <v>78</v>
      </c>
      <c r="E64" s="175" t="s">
        <v>255</v>
      </c>
      <c r="F64" s="175" t="s">
        <v>82</v>
      </c>
      <c r="G64" s="303" t="s">
        <v>52</v>
      </c>
      <c r="H64" s="175" t="s">
        <v>254</v>
      </c>
      <c r="I64" s="175" t="s">
        <v>78</v>
      </c>
      <c r="J64" s="175" t="s">
        <v>255</v>
      </c>
      <c r="K64" s="175" t="s">
        <v>82</v>
      </c>
      <c r="L64" s="303" t="s">
        <v>52</v>
      </c>
      <c r="M64" s="175" t="s">
        <v>254</v>
      </c>
      <c r="N64" s="175" t="s">
        <v>78</v>
      </c>
      <c r="O64" s="175" t="s">
        <v>255</v>
      </c>
      <c r="P64" s="175" t="s">
        <v>82</v>
      </c>
      <c r="Q64" s="303" t="s">
        <v>52</v>
      </c>
      <c r="R64" s="175" t="s">
        <v>254</v>
      </c>
      <c r="S64" s="175" t="s">
        <v>78</v>
      </c>
      <c r="T64" s="175" t="s">
        <v>255</v>
      </c>
      <c r="U64" s="175" t="s">
        <v>82</v>
      </c>
      <c r="V64" s="199" t="s">
        <v>254</v>
      </c>
      <c r="W64" s="199" t="s">
        <v>78</v>
      </c>
      <c r="X64" s="199" t="s">
        <v>255</v>
      </c>
      <c r="Y64" s="199" t="s">
        <v>82</v>
      </c>
      <c r="AU64" s="188"/>
      <c r="AV64" s="188"/>
    </row>
    <row r="65" spans="1:48">
      <c r="A65" s="316" t="s">
        <v>168</v>
      </c>
      <c r="B65" s="277">
        <v>9117.2999999999993</v>
      </c>
      <c r="C65" s="278">
        <v>4721.1000000000004</v>
      </c>
      <c r="D65" s="278">
        <v>3814</v>
      </c>
      <c r="E65" s="278">
        <v>907.1</v>
      </c>
      <c r="F65" s="279">
        <v>4396.2</v>
      </c>
      <c r="G65" s="277">
        <v>9108</v>
      </c>
      <c r="H65" s="278">
        <v>4761.5</v>
      </c>
      <c r="I65" s="278">
        <v>3956.4</v>
      </c>
      <c r="J65" s="278">
        <v>805</v>
      </c>
      <c r="K65" s="279">
        <v>4346.6000000000004</v>
      </c>
      <c r="L65" s="280">
        <v>9098.9</v>
      </c>
      <c r="M65" s="281">
        <v>4748.8999999999996</v>
      </c>
      <c r="N65" s="281">
        <v>3971.9</v>
      </c>
      <c r="O65" s="281">
        <v>777</v>
      </c>
      <c r="P65" s="282">
        <v>4350</v>
      </c>
      <c r="Q65" s="277">
        <v>9089.9</v>
      </c>
      <c r="R65" s="278">
        <v>4688.2</v>
      </c>
      <c r="S65" s="278">
        <v>3901.8</v>
      </c>
      <c r="T65" s="278">
        <v>786.4</v>
      </c>
      <c r="U65" s="279">
        <v>4401.7</v>
      </c>
      <c r="V65" s="283">
        <f>SUM(C65,H65,M65,R65)/4</f>
        <v>4729.9250000000002</v>
      </c>
      <c r="W65" s="283">
        <f>SUM(D65,I65,N65,S65)/4</f>
        <v>3911.0249999999996</v>
      </c>
      <c r="X65" s="283">
        <f>SUM(E65,J65,O65,T65)/4</f>
        <v>818.875</v>
      </c>
      <c r="Y65" s="317">
        <f>SUM(F65,K65,P65,U65)/4</f>
        <v>4373.625</v>
      </c>
      <c r="AU65" s="188"/>
      <c r="AV65" s="188"/>
    </row>
    <row r="66" spans="1:48">
      <c r="A66" s="318" t="s">
        <v>169</v>
      </c>
      <c r="B66" s="284">
        <v>170.9</v>
      </c>
      <c r="C66" s="285">
        <v>82.9</v>
      </c>
      <c r="D66" s="285">
        <v>66.3</v>
      </c>
      <c r="E66" s="285">
        <v>16.7</v>
      </c>
      <c r="F66" s="286">
        <v>87.9</v>
      </c>
      <c r="G66" s="284">
        <v>170.7</v>
      </c>
      <c r="H66" s="285">
        <v>93.7</v>
      </c>
      <c r="I66" s="285">
        <v>82.6</v>
      </c>
      <c r="J66" s="285">
        <v>11.1</v>
      </c>
      <c r="K66" s="286">
        <v>77</v>
      </c>
      <c r="L66" s="287">
        <v>170.6</v>
      </c>
      <c r="M66" s="288">
        <v>93.8</v>
      </c>
      <c r="N66" s="288">
        <v>88</v>
      </c>
      <c r="O66" s="288">
        <v>5.8</v>
      </c>
      <c r="P66" s="289">
        <v>76.8</v>
      </c>
      <c r="Q66" s="284">
        <v>170.4</v>
      </c>
      <c r="R66" s="285">
        <v>81.7</v>
      </c>
      <c r="S66" s="285">
        <v>71.900000000000006</v>
      </c>
      <c r="T66" s="285">
        <v>9.9</v>
      </c>
      <c r="U66" s="286">
        <v>88.7</v>
      </c>
      <c r="V66" s="283">
        <f>SUM(C66,H66,M66,R66)</f>
        <v>352.1</v>
      </c>
      <c r="W66" s="283">
        <f t="shared" ref="W66:Y69" si="15">SUM(D66,I66,N66,S66)/4</f>
        <v>77.199999999999989</v>
      </c>
      <c r="X66" s="283">
        <f t="shared" si="15"/>
        <v>10.874999999999998</v>
      </c>
      <c r="Y66" s="317">
        <f t="shared" si="15"/>
        <v>82.6</v>
      </c>
      <c r="AU66" s="188"/>
      <c r="AV66" s="188"/>
    </row>
    <row r="67" spans="1:48">
      <c r="A67" s="318" t="s">
        <v>170</v>
      </c>
      <c r="B67" s="284">
        <v>166.3</v>
      </c>
      <c r="C67" s="285">
        <v>91.4</v>
      </c>
      <c r="D67" s="285">
        <v>72.900000000000006</v>
      </c>
      <c r="E67" s="285">
        <v>18.5</v>
      </c>
      <c r="F67" s="286">
        <v>74.900000000000006</v>
      </c>
      <c r="G67" s="284">
        <v>166.1</v>
      </c>
      <c r="H67" s="285">
        <v>92.1</v>
      </c>
      <c r="I67" s="285">
        <v>76.3</v>
      </c>
      <c r="J67" s="285">
        <v>15.7</v>
      </c>
      <c r="K67" s="286">
        <v>74.099999999999994</v>
      </c>
      <c r="L67" s="287">
        <v>166</v>
      </c>
      <c r="M67" s="288">
        <v>91.2</v>
      </c>
      <c r="N67" s="288">
        <v>76.400000000000006</v>
      </c>
      <c r="O67" s="288">
        <v>14.8</v>
      </c>
      <c r="P67" s="289">
        <v>74.8</v>
      </c>
      <c r="Q67" s="284">
        <v>165.9</v>
      </c>
      <c r="R67" s="285">
        <v>88.6</v>
      </c>
      <c r="S67" s="285">
        <v>73.599999999999994</v>
      </c>
      <c r="T67" s="285">
        <v>15</v>
      </c>
      <c r="U67" s="286">
        <v>77.3</v>
      </c>
      <c r="V67" s="283">
        <f>SUM(C67,H67,M67,R67)</f>
        <v>363.29999999999995</v>
      </c>
      <c r="W67" s="283">
        <f t="shared" si="15"/>
        <v>74.8</v>
      </c>
      <c r="X67" s="283">
        <f t="shared" si="15"/>
        <v>16</v>
      </c>
      <c r="Y67" s="317">
        <f t="shared" si="15"/>
        <v>75.275000000000006</v>
      </c>
      <c r="AU67" s="188"/>
      <c r="AV67" s="188"/>
    </row>
    <row r="68" spans="1:48">
      <c r="A68" s="318" t="s">
        <v>174</v>
      </c>
      <c r="B68" s="284">
        <v>274.8</v>
      </c>
      <c r="C68" s="285">
        <v>153.69999999999999</v>
      </c>
      <c r="D68" s="285">
        <v>112.4</v>
      </c>
      <c r="E68" s="285">
        <v>41.3</v>
      </c>
      <c r="F68" s="286">
        <v>121.1</v>
      </c>
      <c r="G68" s="284">
        <v>274.39999999999998</v>
      </c>
      <c r="H68" s="285">
        <v>158.1</v>
      </c>
      <c r="I68" s="285">
        <v>145.30000000000001</v>
      </c>
      <c r="J68" s="285">
        <v>12.8</v>
      </c>
      <c r="K68" s="286">
        <v>116.3</v>
      </c>
      <c r="L68" s="287">
        <v>274</v>
      </c>
      <c r="M68" s="288">
        <v>159</v>
      </c>
      <c r="N68" s="288">
        <v>147.6</v>
      </c>
      <c r="O68" s="288">
        <v>11.4</v>
      </c>
      <c r="P68" s="289">
        <v>115</v>
      </c>
      <c r="Q68" s="284">
        <v>273.7</v>
      </c>
      <c r="R68" s="285">
        <v>145.30000000000001</v>
      </c>
      <c r="S68" s="285">
        <v>126.5</v>
      </c>
      <c r="T68" s="285">
        <v>18.8</v>
      </c>
      <c r="U68" s="286">
        <v>128.30000000000001</v>
      </c>
      <c r="V68" s="283">
        <f>SUM(C68,H68,M68,R68)</f>
        <v>616.09999999999991</v>
      </c>
      <c r="W68" s="283">
        <f t="shared" si="15"/>
        <v>132.95000000000002</v>
      </c>
      <c r="X68" s="283">
        <f t="shared" si="15"/>
        <v>21.074999999999999</v>
      </c>
      <c r="Y68" s="317">
        <f t="shared" si="15"/>
        <v>120.175</v>
      </c>
      <c r="AU68" s="188"/>
      <c r="AV68" s="188"/>
    </row>
    <row r="69" spans="1:48">
      <c r="A69" s="318" t="s">
        <v>177</v>
      </c>
      <c r="B69" s="290">
        <v>521.9</v>
      </c>
      <c r="C69" s="291">
        <v>280.89999999999998</v>
      </c>
      <c r="D69" s="291">
        <v>234.4</v>
      </c>
      <c r="E69" s="291">
        <v>46.5</v>
      </c>
      <c r="F69" s="292">
        <v>241</v>
      </c>
      <c r="G69" s="290">
        <v>521.29999999999995</v>
      </c>
      <c r="H69" s="291">
        <v>289.5</v>
      </c>
      <c r="I69" s="291">
        <v>262.39999999999998</v>
      </c>
      <c r="J69" s="291">
        <v>27.1</v>
      </c>
      <c r="K69" s="292">
        <v>231.8</v>
      </c>
      <c r="L69" s="293">
        <v>520.6</v>
      </c>
      <c r="M69" s="294">
        <v>292.89999999999998</v>
      </c>
      <c r="N69" s="294">
        <v>268.3</v>
      </c>
      <c r="O69" s="294">
        <v>24.6</v>
      </c>
      <c r="P69" s="295">
        <v>227.7</v>
      </c>
      <c r="Q69" s="290">
        <v>519.9</v>
      </c>
      <c r="R69" s="291">
        <v>282</v>
      </c>
      <c r="S69" s="291">
        <v>246.8</v>
      </c>
      <c r="T69" s="291">
        <v>35.200000000000003</v>
      </c>
      <c r="U69" s="292">
        <v>237.9</v>
      </c>
      <c r="V69" s="283">
        <f>SUM(C69,H69,M69,R69)</f>
        <v>1145.3</v>
      </c>
      <c r="W69" s="283">
        <f t="shared" si="15"/>
        <v>252.97499999999997</v>
      </c>
      <c r="X69" s="283">
        <f t="shared" si="15"/>
        <v>33.349999999999994</v>
      </c>
      <c r="Y69" s="317">
        <f t="shared" si="15"/>
        <v>234.6</v>
      </c>
      <c r="AU69" s="188"/>
      <c r="AV69" s="188"/>
    </row>
    <row r="70" spans="1:48">
      <c r="A70" s="311" t="s">
        <v>277</v>
      </c>
      <c r="V70" s="319"/>
    </row>
    <row r="71" spans="1:48">
      <c r="A71" s="320" t="s">
        <v>167</v>
      </c>
      <c r="B71" s="321" t="s">
        <v>263</v>
      </c>
      <c r="C71" s="321"/>
      <c r="D71" s="321"/>
      <c r="E71" s="321"/>
      <c r="F71" s="322" t="s">
        <v>268</v>
      </c>
      <c r="G71" s="322"/>
      <c r="H71" s="322"/>
      <c r="I71" s="322"/>
    </row>
    <row r="72" spans="1:48">
      <c r="A72" s="320"/>
      <c r="B72" s="323" t="s">
        <v>264</v>
      </c>
      <c r="C72" s="323" t="s">
        <v>265</v>
      </c>
      <c r="D72" s="323" t="s">
        <v>266</v>
      </c>
      <c r="E72" s="323" t="s">
        <v>267</v>
      </c>
      <c r="F72" s="323" t="s">
        <v>264</v>
      </c>
      <c r="G72" s="323" t="s">
        <v>265</v>
      </c>
      <c r="H72" s="323" t="s">
        <v>266</v>
      </c>
      <c r="I72" s="323" t="s">
        <v>267</v>
      </c>
    </row>
    <row r="73" spans="1:48">
      <c r="A73" s="304" t="s">
        <v>168</v>
      </c>
      <c r="B73" s="194">
        <v>51.8</v>
      </c>
      <c r="C73" s="194">
        <v>52.3</v>
      </c>
      <c r="D73" s="194">
        <v>52.2</v>
      </c>
      <c r="E73" s="194">
        <v>51.6</v>
      </c>
      <c r="F73" s="194">
        <v>19.2</v>
      </c>
      <c r="G73" s="178">
        <v>16.899999999999999</v>
      </c>
      <c r="H73" s="194">
        <v>16.399999999999999</v>
      </c>
      <c r="I73" s="194">
        <v>16.8</v>
      </c>
    </row>
    <row r="74" spans="1:48">
      <c r="A74" s="309" t="s">
        <v>169</v>
      </c>
      <c r="B74" s="194">
        <v>48.5</v>
      </c>
      <c r="C74" s="194">
        <v>54.9</v>
      </c>
      <c r="D74" s="194">
        <v>55</v>
      </c>
      <c r="E74" s="194">
        <v>48</v>
      </c>
      <c r="F74" s="194">
        <v>20.100000000000001</v>
      </c>
      <c r="G74" s="178">
        <v>11.9</v>
      </c>
      <c r="H74" s="194">
        <v>6.2</v>
      </c>
      <c r="I74" s="194">
        <v>12.1</v>
      </c>
    </row>
    <row r="75" spans="1:48">
      <c r="A75" s="309" t="s">
        <v>170</v>
      </c>
      <c r="B75" s="194">
        <v>55</v>
      </c>
      <c r="C75" s="194">
        <v>55.4</v>
      </c>
      <c r="D75" s="194">
        <v>55</v>
      </c>
      <c r="E75" s="194">
        <v>53.4</v>
      </c>
      <c r="F75" s="194">
        <v>20.2</v>
      </c>
      <c r="G75" s="178">
        <v>17.100000000000001</v>
      </c>
      <c r="H75" s="194">
        <v>16.2</v>
      </c>
      <c r="I75" s="194">
        <v>16.899999999999999</v>
      </c>
    </row>
    <row r="76" spans="1:48">
      <c r="A76" s="309" t="s">
        <v>174</v>
      </c>
      <c r="B76" s="194">
        <v>55.9</v>
      </c>
      <c r="C76" s="194">
        <v>57.6</v>
      </c>
      <c r="D76" s="194">
        <v>58</v>
      </c>
      <c r="E76" s="194">
        <v>53.1</v>
      </c>
      <c r="F76" s="194">
        <v>26.9</v>
      </c>
      <c r="G76" s="178">
        <v>8.1</v>
      </c>
      <c r="H76" s="194">
        <v>7.2</v>
      </c>
      <c r="I76" s="194">
        <v>13</v>
      </c>
    </row>
    <row r="77" spans="1:48">
      <c r="A77" s="309" t="s">
        <v>177</v>
      </c>
      <c r="B77" s="194">
        <v>53.8</v>
      </c>
      <c r="C77" s="194">
        <v>55.5</v>
      </c>
      <c r="D77" s="194">
        <v>56.3</v>
      </c>
      <c r="E77" s="194">
        <v>54.2</v>
      </c>
      <c r="F77" s="194">
        <v>16.5</v>
      </c>
      <c r="G77" s="178">
        <v>9.4</v>
      </c>
      <c r="H77" s="194">
        <v>8.4</v>
      </c>
      <c r="I77" s="194">
        <v>12.5</v>
      </c>
    </row>
    <row r="78" spans="1:48">
      <c r="A78" s="311" t="s">
        <v>277</v>
      </c>
    </row>
    <row r="79" spans="1:48">
      <c r="B79" s="296" t="s">
        <v>278</v>
      </c>
      <c r="C79" s="296"/>
      <c r="D79" s="296"/>
      <c r="E79" s="296"/>
      <c r="F79" s="296"/>
      <c r="G79" s="296"/>
      <c r="H79" s="296"/>
    </row>
    <row r="80" spans="1:48" ht="38.25">
      <c r="A80" s="320" t="s">
        <v>167</v>
      </c>
      <c r="B80" s="274">
        <v>2019</v>
      </c>
      <c r="C80" s="324" t="s">
        <v>269</v>
      </c>
      <c r="D80" s="324"/>
      <c r="E80" s="324"/>
      <c r="F80" s="324"/>
      <c r="Q80" s="200" t="s">
        <v>284</v>
      </c>
      <c r="AB80" s="325" t="s">
        <v>282</v>
      </c>
    </row>
    <row r="81" spans="1:28" ht="26.25" thickBot="1">
      <c r="A81" s="320"/>
      <c r="B81" s="303" t="s">
        <v>52</v>
      </c>
      <c r="C81" s="303" t="s">
        <v>279</v>
      </c>
      <c r="D81" s="326" t="s">
        <v>270</v>
      </c>
      <c r="E81" s="326" t="s">
        <v>271</v>
      </c>
      <c r="F81" s="326" t="s">
        <v>272</v>
      </c>
      <c r="G81" s="326" t="s">
        <v>273</v>
      </c>
      <c r="H81" s="326" t="s">
        <v>274</v>
      </c>
      <c r="I81" s="326" t="s">
        <v>275</v>
      </c>
      <c r="J81" s="327" t="s">
        <v>276</v>
      </c>
      <c r="K81" s="328" t="s">
        <v>85</v>
      </c>
      <c r="L81" s="329" t="s">
        <v>73</v>
      </c>
      <c r="M81" s="329" t="s">
        <v>74</v>
      </c>
      <c r="N81" s="329" t="s">
        <v>75</v>
      </c>
      <c r="O81" s="329" t="s">
        <v>87</v>
      </c>
      <c r="P81" s="329" t="s">
        <v>88</v>
      </c>
      <c r="Q81" s="325" t="s">
        <v>167</v>
      </c>
      <c r="R81" s="330" t="s">
        <v>280</v>
      </c>
      <c r="S81" s="331" t="s">
        <v>272</v>
      </c>
      <c r="T81" s="331" t="s">
        <v>273</v>
      </c>
      <c r="U81" s="331" t="s">
        <v>274</v>
      </c>
      <c r="V81" s="331" t="s">
        <v>275</v>
      </c>
      <c r="W81" s="233" t="s">
        <v>281</v>
      </c>
      <c r="X81" s="332" t="s">
        <v>272</v>
      </c>
      <c r="Y81" s="332" t="s">
        <v>273</v>
      </c>
      <c r="Z81" s="332" t="s">
        <v>274</v>
      </c>
      <c r="AA81" s="332" t="s">
        <v>275</v>
      </c>
      <c r="AB81" s="333" t="s">
        <v>283</v>
      </c>
    </row>
    <row r="82" spans="1:28">
      <c r="A82" s="304" t="s">
        <v>168</v>
      </c>
      <c r="B82" s="272">
        <v>10612.390832500001</v>
      </c>
      <c r="C82" s="278">
        <v>3911.0299924998121</v>
      </c>
      <c r="D82" s="273">
        <v>1508.8438400000014</v>
      </c>
      <c r="E82" s="273">
        <v>542.78614999999957</v>
      </c>
      <c r="F82" s="273">
        <v>497.45449999999954</v>
      </c>
      <c r="G82" s="273">
        <v>565.16501250000033</v>
      </c>
      <c r="H82" s="273">
        <v>2175.3391575000046</v>
      </c>
      <c r="I82" s="273">
        <v>2989.8558974999978</v>
      </c>
      <c r="J82" s="273">
        <v>2332.9462749999984</v>
      </c>
      <c r="K82" s="273">
        <v>1508.8438400000014</v>
      </c>
      <c r="L82" s="334">
        <f>B82-D82</f>
        <v>9103.5469924999998</v>
      </c>
      <c r="M82" s="178">
        <f>SUM(F82:I82)</f>
        <v>6227.8145675000023</v>
      </c>
      <c r="N82" s="317">
        <f>SUM(E82:J82)</f>
        <v>9103.5469924999998</v>
      </c>
      <c r="O82" s="335">
        <f>C82/M82</f>
        <v>0.62799396965182852</v>
      </c>
      <c r="P82" s="335">
        <f>E65/N82</f>
        <v>9.9642480095650479E-2</v>
      </c>
      <c r="Q82" s="336" t="s">
        <v>168</v>
      </c>
      <c r="R82" s="337">
        <v>5162.0263425000066</v>
      </c>
      <c r="S82" s="337">
        <v>251.64458749999949</v>
      </c>
      <c r="T82" s="337">
        <v>297.99504250000018</v>
      </c>
      <c r="U82" s="337">
        <v>1092.1261200000058</v>
      </c>
      <c r="V82" s="337">
        <v>1442.3393700000033</v>
      </c>
      <c r="W82" s="178">
        <v>5450.3644899999945</v>
      </c>
      <c r="X82" s="178">
        <v>245.80991250000005</v>
      </c>
      <c r="Y82" s="178">
        <v>267.16997000000009</v>
      </c>
      <c r="Z82" s="178">
        <v>1083.2130374999988</v>
      </c>
      <c r="AA82" s="178">
        <v>1547.5165274999943</v>
      </c>
      <c r="AB82" s="338">
        <f>(W82-R82)/100</f>
        <v>2.8833814749998781</v>
      </c>
    </row>
    <row r="83" spans="1:28">
      <c r="A83" s="309" t="s">
        <v>169</v>
      </c>
      <c r="B83" s="273">
        <v>199.38382749999968</v>
      </c>
      <c r="C83" s="285">
        <v>77.187649999999962</v>
      </c>
      <c r="D83" s="273">
        <v>28.752392499999985</v>
      </c>
      <c r="E83" s="273">
        <v>9.6926374999999982</v>
      </c>
      <c r="F83" s="273">
        <v>7.341439999999996</v>
      </c>
      <c r="G83" s="273">
        <v>8.9416424999999968</v>
      </c>
      <c r="H83" s="273">
        <v>39.919027499999984</v>
      </c>
      <c r="I83" s="273">
        <v>58.693977499999974</v>
      </c>
      <c r="J83" s="273">
        <v>46.042709999999758</v>
      </c>
      <c r="K83" s="273">
        <v>28.752392499999985</v>
      </c>
      <c r="L83" s="334">
        <f>B83-D83</f>
        <v>170.6314349999997</v>
      </c>
      <c r="M83" s="178">
        <f t="shared" ref="M83:M86" si="16">SUM(F83:I83)</f>
        <v>114.89608749999995</v>
      </c>
      <c r="N83" s="317">
        <f t="shared" ref="N83:N86" si="17">SUM(E83:J83)</f>
        <v>170.63143499999973</v>
      </c>
      <c r="O83" s="335">
        <f t="shared" ref="O83:O86" si="18">C83/M83</f>
        <v>0.67180398984430167</v>
      </c>
      <c r="P83" s="335">
        <f t="shared" ref="P83:P86" si="19">E66/N83</f>
        <v>9.7871766711684904E-2</v>
      </c>
      <c r="Q83" s="309" t="s">
        <v>169</v>
      </c>
      <c r="R83" s="178">
        <v>97.753162499999888</v>
      </c>
      <c r="S83" s="178">
        <v>3.8110224999999964</v>
      </c>
      <c r="T83" s="178">
        <v>5.3107424999999955</v>
      </c>
      <c r="U83" s="178">
        <v>19.06621500000001</v>
      </c>
      <c r="V83" s="178">
        <v>29.206675000000018</v>
      </c>
      <c r="W83" s="178">
        <v>101.63066499999981</v>
      </c>
      <c r="X83" s="178">
        <v>3.5304174999999995</v>
      </c>
      <c r="Y83" s="178">
        <v>3.6309000000000018</v>
      </c>
      <c r="Z83" s="178">
        <v>20.852812499999978</v>
      </c>
      <c r="AA83" s="178">
        <v>29.487302499999952</v>
      </c>
      <c r="AB83" s="338">
        <f t="shared" ref="AB83:AB86" si="20">(W83-R83)/100</f>
        <v>3.8775024999999207E-2</v>
      </c>
    </row>
    <row r="84" spans="1:28">
      <c r="A84" s="309" t="s">
        <v>170</v>
      </c>
      <c r="B84" s="273">
        <v>194.69937999999991</v>
      </c>
      <c r="C84" s="285">
        <v>74.816745000000211</v>
      </c>
      <c r="D84" s="273">
        <v>28.623572499999977</v>
      </c>
      <c r="E84" s="273">
        <v>9.1256774999999966</v>
      </c>
      <c r="F84" s="273">
        <v>9.3378375000000027</v>
      </c>
      <c r="G84" s="273">
        <v>11.906007499999983</v>
      </c>
      <c r="H84" s="273">
        <v>37.96235750000001</v>
      </c>
      <c r="I84" s="273">
        <v>51.205789999999986</v>
      </c>
      <c r="J84" s="273">
        <v>46.538137499999955</v>
      </c>
      <c r="K84" s="273">
        <v>28.623572499999977</v>
      </c>
      <c r="L84" s="334">
        <f>B84-D84</f>
        <v>166.07580749999994</v>
      </c>
      <c r="M84" s="178">
        <f t="shared" si="16"/>
        <v>110.41199249999998</v>
      </c>
      <c r="N84" s="317">
        <f t="shared" si="17"/>
        <v>166.07580749999994</v>
      </c>
      <c r="O84" s="335">
        <f t="shared" si="18"/>
        <v>0.67761429991402633</v>
      </c>
      <c r="P84" s="335">
        <f t="shared" si="19"/>
        <v>0.11139491223006702</v>
      </c>
      <c r="Q84" s="309" t="s">
        <v>170</v>
      </c>
      <c r="R84" s="178">
        <v>97.623377500000188</v>
      </c>
      <c r="S84" s="178">
        <v>4.7741025000000032</v>
      </c>
      <c r="T84" s="178">
        <v>6.8909349999999918</v>
      </c>
      <c r="U84" s="178">
        <v>20.161402499999973</v>
      </c>
      <c r="V84" s="178">
        <v>25.256667500000155</v>
      </c>
      <c r="W84" s="178">
        <v>97.076002499999717</v>
      </c>
      <c r="X84" s="178">
        <v>4.5637350000000003</v>
      </c>
      <c r="Y84" s="178">
        <v>5.0150724999999925</v>
      </c>
      <c r="Z84" s="178">
        <v>17.800955000000034</v>
      </c>
      <c r="AA84" s="178">
        <v>25.949122499999831</v>
      </c>
      <c r="AB84" s="338">
        <f t="shared" si="20"/>
        <v>-5.4737500000047136E-3</v>
      </c>
    </row>
    <row r="85" spans="1:28">
      <c r="A85" s="309" t="s">
        <v>174</v>
      </c>
      <c r="B85" s="273">
        <v>328.61100999999945</v>
      </c>
      <c r="C85" s="285">
        <v>132.97290999999964</v>
      </c>
      <c r="D85" s="273">
        <v>54.410465000000059</v>
      </c>
      <c r="E85" s="273">
        <v>19.3855425</v>
      </c>
      <c r="F85" s="273">
        <v>13.168927500000001</v>
      </c>
      <c r="G85" s="273">
        <v>19.197634999999998</v>
      </c>
      <c r="H85" s="273">
        <v>73.71007249999974</v>
      </c>
      <c r="I85" s="273">
        <v>88.632797499999654</v>
      </c>
      <c r="J85" s="273">
        <v>60.105570000000007</v>
      </c>
      <c r="K85" s="273">
        <v>54.410465000000059</v>
      </c>
      <c r="L85" s="334">
        <f>B85-D85</f>
        <v>274.20054499999941</v>
      </c>
      <c r="M85" s="178">
        <f t="shared" si="16"/>
        <v>194.70943249999939</v>
      </c>
      <c r="N85" s="317">
        <f t="shared" si="17"/>
        <v>274.20054499999941</v>
      </c>
      <c r="O85" s="335">
        <f t="shared" si="18"/>
        <v>0.68292998594200138</v>
      </c>
      <c r="P85" s="335">
        <f t="shared" si="19"/>
        <v>0.15061968604037634</v>
      </c>
      <c r="Q85" s="309" t="s">
        <v>174</v>
      </c>
      <c r="R85" s="178">
        <v>162.93552249999999</v>
      </c>
      <c r="S85" s="178">
        <v>6.5803775</v>
      </c>
      <c r="T85" s="178">
        <v>10.30532</v>
      </c>
      <c r="U85" s="178">
        <v>37.189832499999987</v>
      </c>
      <c r="V85" s="178">
        <v>43.369577499999963</v>
      </c>
      <c r="W85" s="178">
        <v>165.67548749999946</v>
      </c>
      <c r="X85" s="178">
        <v>6.5885500000000006</v>
      </c>
      <c r="Y85" s="178">
        <v>8.8923149999999982</v>
      </c>
      <c r="Z85" s="178">
        <v>36.520239999999752</v>
      </c>
      <c r="AA85" s="178">
        <v>45.263219999999691</v>
      </c>
      <c r="AB85" s="338">
        <f t="shared" si="20"/>
        <v>2.7399649999994721E-2</v>
      </c>
    </row>
    <row r="86" spans="1:28">
      <c r="A86" s="309" t="s">
        <v>177</v>
      </c>
      <c r="B86" s="273">
        <v>621.65135999999927</v>
      </c>
      <c r="C86" s="291">
        <v>252.98447000000175</v>
      </c>
      <c r="D86" s="273">
        <v>100.71646249999981</v>
      </c>
      <c r="E86" s="273">
        <v>32.421247500000007</v>
      </c>
      <c r="F86" s="273">
        <v>34.766992499999958</v>
      </c>
      <c r="G86" s="273">
        <v>33.973454999999987</v>
      </c>
      <c r="H86" s="273">
        <v>135.57864500000125</v>
      </c>
      <c r="I86" s="273">
        <v>163.51824749999767</v>
      </c>
      <c r="J86" s="273">
        <v>120.6763100000006</v>
      </c>
      <c r="K86" s="273">
        <v>100.71646249999981</v>
      </c>
      <c r="L86" s="334">
        <f>B86-D86</f>
        <v>520.93489749999947</v>
      </c>
      <c r="M86" s="178">
        <f t="shared" si="16"/>
        <v>367.8373399999989</v>
      </c>
      <c r="N86" s="317">
        <f t="shared" si="17"/>
        <v>520.93489749999947</v>
      </c>
      <c r="O86" s="335">
        <f t="shared" si="18"/>
        <v>0.68776179710304153</v>
      </c>
      <c r="P86" s="335">
        <f t="shared" si="19"/>
        <v>8.9262593508625615E-2</v>
      </c>
      <c r="Q86" s="309" t="s">
        <v>177</v>
      </c>
      <c r="R86" s="178">
        <v>305.41318249999881</v>
      </c>
      <c r="S86" s="178">
        <v>18.123429999999985</v>
      </c>
      <c r="T86" s="178">
        <v>19.043955000000061</v>
      </c>
      <c r="U86" s="178">
        <v>65.556945000000695</v>
      </c>
      <c r="V86" s="178">
        <v>80.675767499998685</v>
      </c>
      <c r="W86" s="178">
        <v>316.23817750000052</v>
      </c>
      <c r="X86" s="178">
        <v>16.643562499999977</v>
      </c>
      <c r="Y86" s="178">
        <v>14.929499999999924</v>
      </c>
      <c r="Z86" s="178">
        <v>70.02170000000055</v>
      </c>
      <c r="AA86" s="178">
        <v>82.842479999998986</v>
      </c>
      <c r="AB86" s="338">
        <f t="shared" si="20"/>
        <v>0.10824995000001707</v>
      </c>
    </row>
    <row r="87" spans="1:28">
      <c r="A87" s="311" t="s">
        <v>277</v>
      </c>
    </row>
  </sheetData>
  <sortState ref="A2:T50">
    <sortCondition ref="A2:A50"/>
  </sortState>
  <mergeCells count="14">
    <mergeCell ref="B62:H62"/>
    <mergeCell ref="F71:I71"/>
    <mergeCell ref="R63:U63"/>
    <mergeCell ref="A1:G1"/>
    <mergeCell ref="A63:A64"/>
    <mergeCell ref="C63:F63"/>
    <mergeCell ref="H63:K63"/>
    <mergeCell ref="M63:P63"/>
    <mergeCell ref="A52:G52"/>
    <mergeCell ref="B79:H79"/>
    <mergeCell ref="A80:A81"/>
    <mergeCell ref="C80:F80"/>
    <mergeCell ref="B71:E71"/>
    <mergeCell ref="A71:A7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10</vt:i4>
      </vt:variant>
    </vt:vector>
  </HeadingPairs>
  <TitlesOfParts>
    <vt:vector size="10" baseType="lpstr">
      <vt:lpstr>pop+surface</vt:lpstr>
      <vt:lpstr>supply</vt:lpstr>
      <vt:lpstr>supply indicators</vt:lpstr>
      <vt:lpstr>demand</vt:lpstr>
      <vt:lpstr>demand indicators</vt:lpstr>
      <vt:lpstr>population</vt:lpstr>
      <vt:lpstr>employment per branch</vt:lpstr>
      <vt:lpstr>employment enterprises</vt:lpstr>
      <vt:lpstr>ages-actives-unemployment</vt:lpstr>
      <vt:lpstr>Gross Added Value 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Ioannis Spilanis</dc:creator>
  <cp:lastModifiedBy>amalia gasteratou</cp:lastModifiedBy>
  <dcterms:created xsi:type="dcterms:W3CDTF">2015-10-12T19:55:00Z</dcterms:created>
  <dcterms:modified xsi:type="dcterms:W3CDTF">2022-04-12T05:30:24Z</dcterms:modified>
</cp:coreProperties>
</file>