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D_PAPADOPOULOU\PHD\2021_Περιφεριακή Αριστεία\Κλίμακες_18_04_2021\"/>
    </mc:Choice>
  </mc:AlternateContent>
  <xr:revisionPtr revIDLastSave="0" documentId="13_ncr:1_{2090215E-08B5-453A-8693-5BE54F8D2E9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Mavic_Pro" sheetId="6" r:id="rId1"/>
    <sheet name="Phantom_4pro" sheetId="1" r:id="rId2"/>
    <sheet name="Inspire_2_Zenmuse X5s" sheetId="2" r:id="rId3"/>
    <sheet name="Olympus 25 mm" sheetId="4" r:id="rId4"/>
    <sheet name="Ματριψε 300(2)" sheetId="9" r:id="rId5"/>
    <sheet name="Oblique" sheetId="5" r:id="rId6"/>
    <sheet name="Φύλλο2" sheetId="8" r:id="rId7"/>
    <sheet name="Φύλλο1" sheetId="7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9" l="1"/>
  <c r="C10" i="9"/>
  <c r="C10" i="1"/>
  <c r="P9" i="4"/>
  <c r="D7" i="4" s="1"/>
  <c r="P9" i="2"/>
  <c r="D7" i="2" s="1"/>
  <c r="P9" i="1"/>
  <c r="D7" i="1"/>
  <c r="D7" i="6"/>
  <c r="D7" i="9"/>
  <c r="C15" i="8"/>
  <c r="G15" i="8" s="1"/>
  <c r="C14" i="8"/>
  <c r="G14" i="8" s="1"/>
  <c r="G13" i="8"/>
  <c r="F13" i="8"/>
  <c r="E13" i="8"/>
  <c r="D13" i="8"/>
  <c r="C13" i="8"/>
  <c r="C12" i="8"/>
  <c r="F12" i="8" s="1"/>
  <c r="C11" i="8"/>
  <c r="G11" i="8" s="1"/>
  <c r="C10" i="8"/>
  <c r="G10" i="8" s="1"/>
  <c r="C9" i="8"/>
  <c r="G9" i="8" s="1"/>
  <c r="H8" i="8"/>
  <c r="C8" i="8"/>
  <c r="G8" i="8" s="1"/>
  <c r="C7" i="8"/>
  <c r="G7" i="8" s="1"/>
  <c r="C6" i="8"/>
  <c r="G6" i="8" s="1"/>
  <c r="C5" i="8"/>
  <c r="G5" i="8" s="1"/>
  <c r="C4" i="8"/>
  <c r="G4" i="8" s="1"/>
  <c r="G3" i="8"/>
  <c r="C3" i="8"/>
  <c r="F3" i="8" s="1"/>
  <c r="Q2" i="8"/>
  <c r="P9" i="9"/>
  <c r="T27" i="9"/>
  <c r="D39" i="9"/>
  <c r="S11" i="9"/>
  <c r="T7" i="9"/>
  <c r="T8" i="9"/>
  <c r="S8" i="9"/>
  <c r="S7" i="9"/>
  <c r="R7" i="9"/>
  <c r="D23" i="7"/>
  <c r="P9" i="6"/>
  <c r="D22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C31" i="9"/>
  <c r="D31" i="9"/>
  <c r="D32" i="9"/>
  <c r="D35" i="9" s="1"/>
  <c r="D14" i="9" s="1"/>
  <c r="P14" i="9" s="1"/>
  <c r="C50" i="9"/>
  <c r="C47" i="9"/>
  <c r="C39" i="9"/>
  <c r="C32" i="9" s="1"/>
  <c r="C35" i="9" s="1"/>
  <c r="C14" i="9" s="1"/>
  <c r="G9" i="7"/>
  <c r="G6" i="7"/>
  <c r="J5" i="7"/>
  <c r="J6" i="7"/>
  <c r="J7" i="7"/>
  <c r="J8" i="7"/>
  <c r="J9" i="7"/>
  <c r="J10" i="7"/>
  <c r="J11" i="7"/>
  <c r="J12" i="7"/>
  <c r="J13" i="7"/>
  <c r="J14" i="7"/>
  <c r="J15" i="7"/>
  <c r="J16" i="7"/>
  <c r="J4" i="7"/>
  <c r="I5" i="7"/>
  <c r="I6" i="7"/>
  <c r="I7" i="7"/>
  <c r="I8" i="7"/>
  <c r="I9" i="7"/>
  <c r="I10" i="7"/>
  <c r="I11" i="7"/>
  <c r="I12" i="7"/>
  <c r="I13" i="7"/>
  <c r="I14" i="7"/>
  <c r="I15" i="7"/>
  <c r="I16" i="7"/>
  <c r="I4" i="7"/>
  <c r="H5" i="7"/>
  <c r="H6" i="7"/>
  <c r="H7" i="7"/>
  <c r="H8" i="7"/>
  <c r="H9" i="7"/>
  <c r="H10" i="7"/>
  <c r="H11" i="7"/>
  <c r="H12" i="7"/>
  <c r="H13" i="7"/>
  <c r="H14" i="7"/>
  <c r="H15" i="7"/>
  <c r="H16" i="7"/>
  <c r="H4" i="7"/>
  <c r="G5" i="7"/>
  <c r="G7" i="7"/>
  <c r="G8" i="7"/>
  <c r="G10" i="7"/>
  <c r="G11" i="7"/>
  <c r="G12" i="7"/>
  <c r="G13" i="7"/>
  <c r="G14" i="7"/>
  <c r="G15" i="7"/>
  <c r="G16" i="7"/>
  <c r="G4" i="7"/>
  <c r="F4" i="7"/>
  <c r="F6" i="7"/>
  <c r="F7" i="7"/>
  <c r="F8" i="7"/>
  <c r="F9" i="7"/>
  <c r="F10" i="7"/>
  <c r="F11" i="7"/>
  <c r="F12" i="7"/>
  <c r="F13" i="7"/>
  <c r="F14" i="7"/>
  <c r="F15" i="7"/>
  <c r="F16" i="7"/>
  <c r="F5" i="7"/>
  <c r="C35" i="2"/>
  <c r="G12" i="8" l="1"/>
  <c r="D7" i="8"/>
  <c r="D10" i="8"/>
  <c r="D4" i="8"/>
  <c r="E7" i="8"/>
  <c r="E10" i="8"/>
  <c r="E4" i="8"/>
  <c r="F7" i="8"/>
  <c r="F10" i="8"/>
  <c r="F4" i="8"/>
  <c r="D14" i="8"/>
  <c r="D8" i="8"/>
  <c r="D11" i="8"/>
  <c r="E14" i="8"/>
  <c r="D5" i="8"/>
  <c r="E8" i="8"/>
  <c r="E11" i="8"/>
  <c r="F14" i="8"/>
  <c r="E5" i="8"/>
  <c r="F8" i="8"/>
  <c r="F11" i="8"/>
  <c r="F5" i="8"/>
  <c r="D15" i="8"/>
  <c r="D12" i="8"/>
  <c r="E15" i="8"/>
  <c r="D6" i="8"/>
  <c r="D9" i="8"/>
  <c r="E12" i="8"/>
  <c r="F15" i="8"/>
  <c r="D3" i="8"/>
  <c r="E6" i="8"/>
  <c r="E9" i="8"/>
  <c r="E3" i="8"/>
  <c r="F6" i="8"/>
  <c r="F9" i="8"/>
  <c r="C36" i="9"/>
  <c r="D36" i="9"/>
  <c r="D37" i="9"/>
  <c r="C32" i="4"/>
  <c r="C32" i="2"/>
  <c r="P7" i="6"/>
  <c r="C50" i="6"/>
  <c r="C47" i="6"/>
  <c r="C39" i="6"/>
  <c r="C32" i="6" s="1"/>
  <c r="C35" i="6" s="1"/>
  <c r="D32" i="6"/>
  <c r="D35" i="6" s="1"/>
  <c r="D31" i="6"/>
  <c r="C31" i="6"/>
  <c r="P7" i="1"/>
  <c r="D56" i="5"/>
  <c r="R18" i="5"/>
  <c r="C50" i="5"/>
  <c r="C47" i="5"/>
  <c r="C39" i="5"/>
  <c r="D32" i="5"/>
  <c r="D35" i="5" s="1"/>
  <c r="D31" i="5"/>
  <c r="D39" i="5" s="1"/>
  <c r="C10" i="5" s="1"/>
  <c r="C31" i="5"/>
  <c r="P7" i="5"/>
  <c r="P9" i="5" s="1"/>
  <c r="C50" i="4"/>
  <c r="C47" i="4"/>
  <c r="C39" i="4"/>
  <c r="D32" i="4"/>
  <c r="D35" i="4" s="1"/>
  <c r="D31" i="4"/>
  <c r="C31" i="4"/>
  <c r="P7" i="4"/>
  <c r="C50" i="2"/>
  <c r="C47" i="2"/>
  <c r="C39" i="2"/>
  <c r="D32" i="2"/>
  <c r="D35" i="2" s="1"/>
  <c r="D37" i="2" s="1"/>
  <c r="D31" i="2"/>
  <c r="C31" i="2"/>
  <c r="P7" i="2"/>
  <c r="C31" i="1"/>
  <c r="D31" i="1"/>
  <c r="D32" i="1"/>
  <c r="D35" i="1" s="1"/>
  <c r="C39" i="1"/>
  <c r="C32" i="1" s="1"/>
  <c r="C47" i="1"/>
  <c r="C50" i="1"/>
  <c r="D39" i="6" l="1"/>
  <c r="C51" i="9"/>
  <c r="C53" i="9" s="1"/>
  <c r="D23" i="9" s="1"/>
  <c r="C48" i="9"/>
  <c r="D18" i="9"/>
  <c r="D38" i="9"/>
  <c r="D16" i="9"/>
  <c r="D25" i="9" s="1"/>
  <c r="C37" i="9"/>
  <c r="C35" i="1"/>
  <c r="D36" i="6"/>
  <c r="D14" i="6"/>
  <c r="D37" i="6"/>
  <c r="D37" i="4"/>
  <c r="C48" i="4" s="1"/>
  <c r="D36" i="4"/>
  <c r="D16" i="4" s="1"/>
  <c r="D25" i="4" s="1"/>
  <c r="D36" i="5"/>
  <c r="D16" i="5" s="1"/>
  <c r="D25" i="5" s="1"/>
  <c r="D37" i="5"/>
  <c r="C48" i="5" s="1"/>
  <c r="C32" i="5"/>
  <c r="C35" i="5" s="1"/>
  <c r="C36" i="5" s="1"/>
  <c r="D39" i="4"/>
  <c r="Q20" i="5"/>
  <c r="Q26" i="5" s="1"/>
  <c r="R26" i="5" s="1"/>
  <c r="Q21" i="5"/>
  <c r="Q27" i="5" s="1"/>
  <c r="R27" i="5" s="1"/>
  <c r="Q19" i="5"/>
  <c r="Q25" i="5" s="1"/>
  <c r="R25" i="5" s="1"/>
  <c r="D38" i="5"/>
  <c r="D42" i="5" s="1"/>
  <c r="D14" i="5"/>
  <c r="P14" i="5" s="1"/>
  <c r="C37" i="5"/>
  <c r="D18" i="5"/>
  <c r="C51" i="5"/>
  <c r="C53" i="5" s="1"/>
  <c r="D23" i="5" s="1"/>
  <c r="C35" i="4"/>
  <c r="D14" i="4"/>
  <c r="D39" i="2"/>
  <c r="D36" i="2"/>
  <c r="D38" i="2" s="1"/>
  <c r="D20" i="2" s="1"/>
  <c r="D18" i="2"/>
  <c r="C48" i="2"/>
  <c r="C51" i="2"/>
  <c r="C53" i="2" s="1"/>
  <c r="D23" i="2" s="1"/>
  <c r="D14" i="2"/>
  <c r="D39" i="1"/>
  <c r="D14" i="1"/>
  <c r="D37" i="1"/>
  <c r="D36" i="1"/>
  <c r="P14" i="4" l="1"/>
  <c r="C10" i="4"/>
  <c r="D18" i="4"/>
  <c r="C51" i="4"/>
  <c r="C53" i="4" s="1"/>
  <c r="D23" i="4" s="1"/>
  <c r="P14" i="2"/>
  <c r="C10" i="2"/>
  <c r="P14" i="1"/>
  <c r="P14" i="6"/>
  <c r="C10" i="6"/>
  <c r="C16" i="9"/>
  <c r="C38" i="9"/>
  <c r="C20" i="9" s="1"/>
  <c r="C42" i="9"/>
  <c r="C18" i="9"/>
  <c r="D42" i="9"/>
  <c r="D20" i="9"/>
  <c r="D16" i="6"/>
  <c r="D25" i="6" s="1"/>
  <c r="D38" i="6"/>
  <c r="C51" i="6"/>
  <c r="C53" i="6" s="1"/>
  <c r="D23" i="6" s="1"/>
  <c r="D18" i="6"/>
  <c r="C48" i="6"/>
  <c r="C36" i="6"/>
  <c r="C14" i="6"/>
  <c r="C37" i="6"/>
  <c r="D7" i="5"/>
  <c r="C36" i="1"/>
  <c r="C14" i="5"/>
  <c r="D38" i="4"/>
  <c r="D20" i="5"/>
  <c r="C18" i="5"/>
  <c r="C42" i="5"/>
  <c r="C38" i="5"/>
  <c r="C20" i="5" s="1"/>
  <c r="C16" i="5"/>
  <c r="C14" i="4"/>
  <c r="C36" i="4"/>
  <c r="C37" i="4"/>
  <c r="D42" i="2"/>
  <c r="D16" i="2"/>
  <c r="D25" i="2" s="1"/>
  <c r="C14" i="2"/>
  <c r="C37" i="2"/>
  <c r="C36" i="2"/>
  <c r="D18" i="1"/>
  <c r="C51" i="1"/>
  <c r="C53" i="1" s="1"/>
  <c r="D23" i="1" s="1"/>
  <c r="D16" i="1"/>
  <c r="D25" i="1" s="1"/>
  <c r="D38" i="1"/>
  <c r="C48" i="1"/>
  <c r="D20" i="6" l="1"/>
  <c r="D42" i="6"/>
  <c r="C18" i="6"/>
  <c r="C42" i="6"/>
  <c r="C16" i="6"/>
  <c r="C38" i="6"/>
  <c r="C20" i="6" s="1"/>
  <c r="C14" i="1"/>
  <c r="C37" i="1"/>
  <c r="D20" i="4"/>
  <c r="D42" i="4"/>
  <c r="C38" i="4"/>
  <c r="C20" i="4" s="1"/>
  <c r="C16" i="4"/>
  <c r="C42" i="4"/>
  <c r="C18" i="4"/>
  <c r="C18" i="2"/>
  <c r="C42" i="2"/>
  <c r="C38" i="2"/>
  <c r="C20" i="2" s="1"/>
  <c r="C16" i="2"/>
  <c r="D42" i="1"/>
  <c r="D20" i="1"/>
  <c r="C16" i="1"/>
  <c r="C38" i="1" l="1"/>
  <c r="C20" i="1" s="1"/>
  <c r="C42" i="1"/>
  <c r="C18" i="1"/>
</calcChain>
</file>

<file path=xl/sharedStrings.xml><?xml version="1.0" encoding="utf-8"?>
<sst xmlns="http://schemas.openxmlformats.org/spreadsheetml/2006/main" count="388" uniqueCount="81">
  <si>
    <t>km/h</t>
  </si>
  <si>
    <t>Flight Speed</t>
  </si>
  <si>
    <t>seconds</t>
  </si>
  <si>
    <t>Photo time interval</t>
  </si>
  <si>
    <t>meters</t>
  </si>
  <si>
    <t>Distance between photos</t>
  </si>
  <si>
    <t>%</t>
  </si>
  <si>
    <t>Overlap Front</t>
  </si>
  <si>
    <t>Number of photos</t>
  </si>
  <si>
    <t xml:space="preserve">Geographical Area </t>
  </si>
  <si>
    <t>CARTOGRAPHIC SCALE</t>
  </si>
  <si>
    <t>AREA OF AN IMAGE (SQUARE METERS)</t>
  </si>
  <si>
    <t>Photo Area</t>
  </si>
  <si>
    <t>= height of single image footprint on the ground (meters)</t>
  </si>
  <si>
    <t>= width of single image footprint on the ground (meters)</t>
  </si>
  <si>
    <t>Dw</t>
  </si>
  <si>
    <t>= Ground Sampling Distance (centimeters/pixel) / Διακριτική ικανότητα φωτογραφίας</t>
  </si>
  <si>
    <t>GSD</t>
  </si>
  <si>
    <t>= the image height (pixels)</t>
  </si>
  <si>
    <t>imH</t>
  </si>
  <si>
    <t>= the image width (pixels)</t>
  </si>
  <si>
    <t>imW</t>
  </si>
  <si>
    <t>= the flight height (meters)</t>
  </si>
  <si>
    <t>H</t>
  </si>
  <si>
    <t>= the focal length of the camera (meters)</t>
  </si>
  <si>
    <t>FR meters</t>
  </si>
  <si>
    <t>= the focal length of the camera (millimeters)</t>
  </si>
  <si>
    <t>= the sensor width of the camera (millimeters)</t>
  </si>
  <si>
    <t>Sw</t>
  </si>
  <si>
    <t>Υπολογισμός</t>
  </si>
  <si>
    <t>Ορίστε ποσοστό(%) εμπρόσθιας αλληλεπικάλυψη</t>
  </si>
  <si>
    <t>Ύψος φωτογραφίας / image height (DH)</t>
  </si>
  <si>
    <t>Πλάτος φωτογραφίας / image width (DW)</t>
  </si>
  <si>
    <t>Διακριτική ικανότητα φωτογραφίας / Ground Sampling Distance (GSD)</t>
  </si>
  <si>
    <t>Χαρακτηριστικά Εικόνας</t>
  </si>
  <si>
    <t>Ορίστε την Χαρτογραφική κλίμακα       1:</t>
  </si>
  <si>
    <t>Ύψος πτήσης</t>
  </si>
  <si>
    <t>Ορίστε το Ύψος πτήσης</t>
  </si>
  <si>
    <t>Χαρτογραφική κλίμακα</t>
  </si>
  <si>
    <t>ΧΑΡΤΟΓΡΑΦΙΚΗ ΚΛΙΜΑΚΑ ΚΑΙ ΧΑΡΑΚΤΗΡΙΣΤΙΚΑ ΕΙΚΟΝΩΝ ΑΠΟ ΣμηΕΑ</t>
  </si>
  <si>
    <r>
      <t>Γεωγραφική έκταση ανά εικόνα (m</t>
    </r>
    <r>
      <rPr>
        <vertAlign val="superscript"/>
        <sz val="12"/>
        <color theme="1"/>
        <rFont val="Cambria"/>
        <family val="1"/>
        <charset val="161"/>
        <scheme val="major"/>
      </rPr>
      <t>2</t>
    </r>
    <r>
      <rPr>
        <sz val="12"/>
        <color theme="1"/>
        <rFont val="Cambria"/>
        <family val="1"/>
        <charset val="161"/>
        <scheme val="major"/>
      </rPr>
      <t>)</t>
    </r>
  </si>
  <si>
    <r>
      <rPr>
        <sz val="10"/>
        <color theme="1" tint="0.499984740745262"/>
        <rFont val="Cambria"/>
        <family val="1"/>
        <charset val="161"/>
        <scheme val="major"/>
      </rPr>
      <t>DH</t>
    </r>
  </si>
  <si>
    <t>Ταχύτητα πτήσης (klm/h)</t>
  </si>
  <si>
    <t>Ορίστε ποσοστό(%) πλευρικής αλληλεπικάλυψη</t>
  </si>
  <si>
    <t>Απόσταση μεταξύ των γραμμών (m)</t>
  </si>
  <si>
    <t>Αποδεκτό σφάλμα (cm)</t>
  </si>
  <si>
    <t>Πόσο πρέπει να είναι το GSD (cm)</t>
  </si>
  <si>
    <t>Χαρτογραφική κλίμακα που μπορείς να φτάσεις</t>
  </si>
  <si>
    <t>(4:3)</t>
  </si>
  <si>
    <t>Sensor size (mm) 13 x 17.3</t>
  </si>
  <si>
    <r>
      <t xml:space="preserve">Oblique (deg </t>
    </r>
    <r>
      <rPr>
        <vertAlign val="superscript"/>
        <sz val="12"/>
        <color theme="1"/>
        <rFont val="Cambria"/>
        <family val="1"/>
        <charset val="161"/>
        <scheme val="major"/>
      </rPr>
      <t xml:space="preserve">o </t>
    </r>
    <r>
      <rPr>
        <sz val="12"/>
        <color theme="1"/>
        <rFont val="Cambria"/>
        <family val="1"/>
        <charset val="161"/>
        <scheme val="major"/>
      </rPr>
      <t>)</t>
    </r>
  </si>
  <si>
    <t>Fov</t>
  </si>
  <si>
    <t>Radian</t>
  </si>
  <si>
    <t>radian</t>
  </si>
  <si>
    <t>Mεγάλη πλευρά</t>
  </si>
  <si>
    <t>Μεγάλη Πλευρά</t>
  </si>
  <si>
    <t>Στο κέντρο της φωτογραφίας</t>
  </si>
  <si>
    <t>Μικρή Πλευρά</t>
  </si>
  <si>
    <t>Μέχρι 42 μοίρες το 1/2 FOV</t>
  </si>
  <si>
    <t>Αποδεκτό σφάλμα (cm) για αναλογικό χάρτη</t>
  </si>
  <si>
    <r>
      <rPr>
        <sz val="8"/>
        <color rgb="FFFF0000"/>
        <rFont val="Cambria"/>
        <family val="1"/>
        <charset val="161"/>
        <scheme val="major"/>
      </rPr>
      <t>FR</t>
    </r>
  </si>
  <si>
    <t>Geographic Scale</t>
  </si>
  <si>
    <t>Cartographic Scale</t>
  </si>
  <si>
    <t>Spatial</t>
  </si>
  <si>
    <t>cm</t>
  </si>
  <si>
    <t>olympus</t>
  </si>
  <si>
    <t>Zenmuse X5s</t>
  </si>
  <si>
    <t>Matrice 300 P1</t>
  </si>
  <si>
    <t>mavic</t>
  </si>
  <si>
    <t>phantom</t>
  </si>
  <si>
    <t>Sensor size (mm) 35.9 x 24</t>
  </si>
  <si>
    <t>13,2x8.8</t>
  </si>
  <si>
    <t>4,4μ.m /1000</t>
  </si>
  <si>
    <t>P1</t>
  </si>
  <si>
    <t>cartographic scale</t>
  </si>
  <si>
    <t>spatial resolution</t>
  </si>
  <si>
    <t>FlightHeight</t>
  </si>
  <si>
    <t>Phantom 4 pro</t>
  </si>
  <si>
    <t>Olympus</t>
  </si>
  <si>
    <t>Zenmuse</t>
  </si>
  <si>
    <t>fr*spatial resolution/ sensor size (μικρά)*10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</si>
</sst>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000000"/>
      <name val="Cambria"/>
      <family val="1"/>
      <charset val="161"/>
    </font>
    <font>
      <b/>
      <sz val="16"/>
      <color rgb="FF000000"/>
      <name val="Cambria"/>
      <family val="1"/>
      <charset val="161"/>
    </font>
    <font>
      <sz val="11"/>
      <color theme="1"/>
      <name val="Cambria"/>
      <family val="1"/>
      <charset val="161"/>
      <scheme val="major"/>
    </font>
    <font>
      <b/>
      <sz val="16"/>
      <color rgb="FF000000"/>
      <name val="Cambria"/>
      <family val="1"/>
      <charset val="161"/>
      <scheme val="major"/>
    </font>
    <font>
      <sz val="11"/>
      <color rgb="FF000000"/>
      <name val="Cambria"/>
      <family val="1"/>
      <charset val="161"/>
      <scheme val="major"/>
    </font>
    <font>
      <sz val="10"/>
      <name val="Cambria"/>
      <family val="1"/>
      <charset val="161"/>
      <scheme val="major"/>
    </font>
    <font>
      <u/>
      <sz val="11"/>
      <color rgb="FF0066CC"/>
      <name val="Cambria"/>
      <family val="1"/>
      <charset val="161"/>
      <scheme val="major"/>
    </font>
    <font>
      <sz val="12"/>
      <color theme="1"/>
      <name val="Cambria"/>
      <family val="1"/>
      <charset val="161"/>
      <scheme val="major"/>
    </font>
    <font>
      <vertAlign val="superscript"/>
      <sz val="12"/>
      <color theme="1"/>
      <name val="Cambria"/>
      <family val="1"/>
      <charset val="161"/>
      <scheme val="major"/>
    </font>
    <font>
      <sz val="11"/>
      <color theme="1" tint="0.499984740745262"/>
      <name val="Cambria"/>
      <family val="1"/>
      <charset val="161"/>
      <scheme val="major"/>
    </font>
    <font>
      <sz val="10"/>
      <color theme="1" tint="0.499984740745262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0"/>
      <color rgb="FF000000"/>
      <name val="Cambria"/>
      <family val="1"/>
      <charset val="161"/>
    </font>
    <font>
      <sz val="20"/>
      <name val="Cambria"/>
      <family val="1"/>
      <charset val="161"/>
    </font>
    <font>
      <sz val="20"/>
      <color rgb="FF000000"/>
      <name val="Cambria"/>
      <family val="1"/>
      <charset val="161"/>
    </font>
    <font>
      <sz val="16"/>
      <color theme="1"/>
      <name val="Cambria"/>
      <family val="1"/>
      <charset val="161"/>
      <scheme val="major"/>
    </font>
    <font>
      <sz val="16"/>
      <color theme="1"/>
      <name val="Calibri"/>
      <family val="2"/>
      <charset val="161"/>
      <scheme val="minor"/>
    </font>
    <font>
      <sz val="11"/>
      <color rgb="FFFF0000"/>
      <name val="Cambria"/>
      <family val="1"/>
      <charset val="161"/>
      <scheme val="major"/>
    </font>
    <font>
      <sz val="8"/>
      <color rgb="FFFF0000"/>
      <name val="Cambria"/>
      <family val="1"/>
      <charset val="161"/>
      <scheme val="major"/>
    </font>
    <font>
      <sz val="10"/>
      <color rgb="FFFF0000"/>
      <name val="Cambria"/>
      <family val="1"/>
      <charset val="16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AFAD4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 vertical="top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 wrapText="1"/>
    </xf>
    <xf numFmtId="0" fontId="12" fillId="0" borderId="0" xfId="0" applyFont="1"/>
    <xf numFmtId="1" fontId="9" fillId="0" borderId="0" xfId="0" applyNumberFormat="1" applyFont="1" applyAlignment="1">
      <alignment horizontal="center" vertical="center" wrapText="1"/>
    </xf>
    <xf numFmtId="2" fontId="11" fillId="0" borderId="0" xfId="0" applyNumberFormat="1" applyFont="1"/>
    <xf numFmtId="1" fontId="9" fillId="3" borderId="0" xfId="0" applyNumberFormat="1" applyFont="1" applyFill="1" applyAlignment="1">
      <alignment horizontal="center" vertical="center" wrapText="1"/>
    </xf>
    <xf numFmtId="1" fontId="9" fillId="5" borderId="0" xfId="0" applyNumberFormat="1" applyFont="1" applyFill="1" applyAlignment="1">
      <alignment horizontal="center" vertical="center" wrapText="1"/>
    </xf>
    <xf numFmtId="0" fontId="13" fillId="0" borderId="0" xfId="0" applyFont="1"/>
    <xf numFmtId="2" fontId="18" fillId="5" borderId="0" xfId="0" applyNumberFormat="1" applyFont="1" applyFill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18" fillId="5" borderId="0" xfId="0" applyNumberFormat="1" applyFont="1" applyFill="1" applyAlignment="1">
      <alignment horizontal="center" vertical="center" wrapText="1"/>
    </xf>
    <xf numFmtId="1" fontId="19" fillId="2" borderId="0" xfId="1" applyNumberFormat="1" applyFont="1" applyAlignment="1">
      <alignment horizontal="center" vertical="center" wrapText="1"/>
    </xf>
    <xf numFmtId="164" fontId="18" fillId="5" borderId="0" xfId="0" applyNumberFormat="1" applyFont="1" applyFill="1" applyAlignment="1">
      <alignment horizontal="center" vertical="center" wrapText="1"/>
    </xf>
    <xf numFmtId="164" fontId="19" fillId="2" borderId="0" xfId="1" applyNumberFormat="1" applyFont="1" applyAlignment="1">
      <alignment horizontal="center" vertical="center" wrapText="1"/>
    </xf>
    <xf numFmtId="2" fontId="0" fillId="0" borderId="0" xfId="0" applyNumberFormat="1"/>
    <xf numFmtId="2" fontId="20" fillId="0" borderId="0" xfId="0" applyNumberFormat="1" applyFont="1"/>
    <xf numFmtId="0" fontId="20" fillId="0" borderId="0" xfId="0" applyFont="1"/>
    <xf numFmtId="165" fontId="20" fillId="0" borderId="0" xfId="0" applyNumberFormat="1" applyFont="1"/>
    <xf numFmtId="0" fontId="20" fillId="0" borderId="0" xfId="0" applyFont="1" applyAlignment="1">
      <alignment horizontal="left" vertical="top" wrapText="1"/>
    </xf>
    <xf numFmtId="0" fontId="22" fillId="0" borderId="0" xfId="0" applyFont="1"/>
    <xf numFmtId="166" fontId="20" fillId="0" borderId="0" xfId="0" applyNumberFormat="1" applyFont="1"/>
    <xf numFmtId="2" fontId="0" fillId="6" borderId="0" xfId="0" applyNumberFormat="1" applyFill="1"/>
    <xf numFmtId="0" fontId="0" fillId="0" borderId="0" xfId="0" applyAlignment="1">
      <alignment wrapText="1"/>
    </xf>
    <xf numFmtId="0" fontId="15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center" vertical="center" wrapText="1"/>
    </xf>
  </cellXfs>
  <cellStyles count="2">
    <cellStyle name="Καλό" xfId="1" builtinId="26"/>
    <cellStyle name="Κανονικό" xfId="0" builtinId="0"/>
  </cellStyles>
  <dxfs count="0"/>
  <tableStyles count="0" defaultTableStyle="TableStyleMedium9" defaultPivotStyle="PivotStyleLight16"/>
  <colors>
    <mruColors>
      <color rgb="FFFAFA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[1]chart!$C$4:$C$16</c:f>
              <c:numCache>
                <c:formatCode>General</c:formatCode>
                <c:ptCount val="13"/>
                <c:pt idx="0">
                  <c:v>0.125</c:v>
                </c:pt>
                <c:pt idx="1">
                  <c:v>0.25</c:v>
                </c:pt>
                <c:pt idx="2">
                  <c:v>0.625</c:v>
                </c:pt>
                <c:pt idx="3">
                  <c:v>1.25</c:v>
                </c:pt>
                <c:pt idx="4">
                  <c:v>2.5</c:v>
                </c:pt>
                <c:pt idx="5">
                  <c:v>3.75</c:v>
                </c:pt>
                <c:pt idx="6">
                  <c:v>5</c:v>
                </c:pt>
                <c:pt idx="7">
                  <c:v>6.25</c:v>
                </c:pt>
                <c:pt idx="8">
                  <c:v>7.5</c:v>
                </c:pt>
                <c:pt idx="9">
                  <c:v>8.75</c:v>
                </c:pt>
                <c:pt idx="10">
                  <c:v>10</c:v>
                </c:pt>
                <c:pt idx="11">
                  <c:v>11.25</c:v>
                </c:pt>
                <c:pt idx="12">
                  <c:v>12.5</c:v>
                </c:pt>
              </c:numCache>
            </c:numRef>
          </c:xVal>
          <c:yVal>
            <c:numRef>
              <c:f>[1]chart!$D$4:$D$16</c:f>
              <c:numCache>
                <c:formatCode>General</c:formatCode>
                <c:ptCount val="13"/>
                <c:pt idx="0">
                  <c:v>9.9431818181818183</c:v>
                </c:pt>
                <c:pt idx="1">
                  <c:v>19.886363636363637</c:v>
                </c:pt>
                <c:pt idx="2">
                  <c:v>49.715909090909079</c:v>
                </c:pt>
                <c:pt idx="3">
                  <c:v>99.431818181818159</c:v>
                </c:pt>
                <c:pt idx="4">
                  <c:v>198.86363636363632</c:v>
                </c:pt>
                <c:pt idx="5">
                  <c:v>298.2954545454545</c:v>
                </c:pt>
                <c:pt idx="6">
                  <c:v>397.72727272727263</c:v>
                </c:pt>
                <c:pt idx="7">
                  <c:v>497.15909090909088</c:v>
                </c:pt>
                <c:pt idx="8">
                  <c:v>596.59090909090901</c:v>
                </c:pt>
                <c:pt idx="9">
                  <c:v>696.02272727272725</c:v>
                </c:pt>
                <c:pt idx="10">
                  <c:v>795.45454545454527</c:v>
                </c:pt>
                <c:pt idx="11">
                  <c:v>894.88636363636363</c:v>
                </c:pt>
                <c:pt idx="12">
                  <c:v>994.31818181818176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55-4C07-A830-E55E7985DA0C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[1]chart!$C$4:$C$16</c:f>
              <c:numCache>
                <c:formatCode>General</c:formatCode>
                <c:ptCount val="13"/>
                <c:pt idx="0">
                  <c:v>0.125</c:v>
                </c:pt>
                <c:pt idx="1">
                  <c:v>0.25</c:v>
                </c:pt>
                <c:pt idx="2">
                  <c:v>0.625</c:v>
                </c:pt>
                <c:pt idx="3">
                  <c:v>1.25</c:v>
                </c:pt>
                <c:pt idx="4">
                  <c:v>2.5</c:v>
                </c:pt>
                <c:pt idx="5">
                  <c:v>3.75</c:v>
                </c:pt>
                <c:pt idx="6">
                  <c:v>5</c:v>
                </c:pt>
                <c:pt idx="7">
                  <c:v>6.25</c:v>
                </c:pt>
                <c:pt idx="8">
                  <c:v>7.5</c:v>
                </c:pt>
                <c:pt idx="9">
                  <c:v>8.75</c:v>
                </c:pt>
                <c:pt idx="10">
                  <c:v>10</c:v>
                </c:pt>
                <c:pt idx="11">
                  <c:v>11.25</c:v>
                </c:pt>
                <c:pt idx="12">
                  <c:v>12.5</c:v>
                </c:pt>
              </c:numCache>
            </c:numRef>
          </c:xVal>
          <c:yVal>
            <c:numRef>
              <c:f>[1]chart!$E$4:$E$16</c:f>
              <c:numCache>
                <c:formatCode>General</c:formatCode>
                <c:ptCount val="13"/>
                <c:pt idx="0">
                  <c:v>4.5833333333333339</c:v>
                </c:pt>
                <c:pt idx="1">
                  <c:v>9.1666666666666679</c:v>
                </c:pt>
                <c:pt idx="2">
                  <c:v>22.916666666666671</c:v>
                </c:pt>
                <c:pt idx="3">
                  <c:v>45.833333333333343</c:v>
                </c:pt>
                <c:pt idx="4">
                  <c:v>91.666666666666686</c:v>
                </c:pt>
                <c:pt idx="5">
                  <c:v>137.5</c:v>
                </c:pt>
                <c:pt idx="6">
                  <c:v>183.33333333333337</c:v>
                </c:pt>
                <c:pt idx="7">
                  <c:v>229.16666666666671</c:v>
                </c:pt>
                <c:pt idx="8">
                  <c:v>275</c:v>
                </c:pt>
                <c:pt idx="9">
                  <c:v>320.83333333333337</c:v>
                </c:pt>
                <c:pt idx="10">
                  <c:v>366.66666666666674</c:v>
                </c:pt>
                <c:pt idx="11">
                  <c:v>412.50000000000006</c:v>
                </c:pt>
                <c:pt idx="12">
                  <c:v>458.33333333333343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55-4C07-A830-E55E7985DA0C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[1]chart!$C$4:$C$16</c:f>
              <c:numCache>
                <c:formatCode>General</c:formatCode>
                <c:ptCount val="13"/>
                <c:pt idx="0">
                  <c:v>0.125</c:v>
                </c:pt>
                <c:pt idx="1">
                  <c:v>0.25</c:v>
                </c:pt>
                <c:pt idx="2">
                  <c:v>0.625</c:v>
                </c:pt>
                <c:pt idx="3">
                  <c:v>1.25</c:v>
                </c:pt>
                <c:pt idx="4">
                  <c:v>2.5</c:v>
                </c:pt>
                <c:pt idx="5">
                  <c:v>3.75</c:v>
                </c:pt>
                <c:pt idx="6">
                  <c:v>5</c:v>
                </c:pt>
                <c:pt idx="7">
                  <c:v>6.25</c:v>
                </c:pt>
                <c:pt idx="8">
                  <c:v>7.5</c:v>
                </c:pt>
                <c:pt idx="9">
                  <c:v>8.75</c:v>
                </c:pt>
                <c:pt idx="10">
                  <c:v>10</c:v>
                </c:pt>
                <c:pt idx="11">
                  <c:v>11.25</c:v>
                </c:pt>
                <c:pt idx="12">
                  <c:v>12.5</c:v>
                </c:pt>
              </c:numCache>
            </c:numRef>
          </c:xVal>
          <c:yVal>
            <c:numRef>
              <c:f>[1]chart!$F$4:$F$16</c:f>
              <c:numCache>
                <c:formatCode>General</c:formatCode>
                <c:ptCount val="13"/>
                <c:pt idx="0">
                  <c:v>13.020833333333336</c:v>
                </c:pt>
                <c:pt idx="1">
                  <c:v>26.041666666666671</c:v>
                </c:pt>
                <c:pt idx="2">
                  <c:v>65.104166666666671</c:v>
                </c:pt>
                <c:pt idx="3">
                  <c:v>130.20833333333334</c:v>
                </c:pt>
                <c:pt idx="4">
                  <c:v>260.41666666666669</c:v>
                </c:pt>
                <c:pt idx="5">
                  <c:v>390.625</c:v>
                </c:pt>
                <c:pt idx="6">
                  <c:v>520.83333333333337</c:v>
                </c:pt>
                <c:pt idx="7">
                  <c:v>651.04166666666674</c:v>
                </c:pt>
                <c:pt idx="8">
                  <c:v>781.25</c:v>
                </c:pt>
                <c:pt idx="9">
                  <c:v>911.45833333333348</c:v>
                </c:pt>
                <c:pt idx="10">
                  <c:v>1041.6666666666667</c:v>
                </c:pt>
                <c:pt idx="11">
                  <c:v>1171.875</c:v>
                </c:pt>
                <c:pt idx="12">
                  <c:v>1302.0833333333335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55-4C07-A830-E55E7985DA0C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[1]chart!$C$4:$C$16</c:f>
              <c:numCache>
                <c:formatCode>General</c:formatCode>
                <c:ptCount val="13"/>
                <c:pt idx="0">
                  <c:v>0.125</c:v>
                </c:pt>
                <c:pt idx="1">
                  <c:v>0.25</c:v>
                </c:pt>
                <c:pt idx="2">
                  <c:v>0.625</c:v>
                </c:pt>
                <c:pt idx="3">
                  <c:v>1.25</c:v>
                </c:pt>
                <c:pt idx="4">
                  <c:v>2.5</c:v>
                </c:pt>
                <c:pt idx="5">
                  <c:v>3.75</c:v>
                </c:pt>
                <c:pt idx="6">
                  <c:v>5</c:v>
                </c:pt>
                <c:pt idx="7">
                  <c:v>6.25</c:v>
                </c:pt>
                <c:pt idx="8">
                  <c:v>7.5</c:v>
                </c:pt>
                <c:pt idx="9">
                  <c:v>8.75</c:v>
                </c:pt>
                <c:pt idx="10">
                  <c:v>10</c:v>
                </c:pt>
                <c:pt idx="11">
                  <c:v>11.25</c:v>
                </c:pt>
                <c:pt idx="12">
                  <c:v>12.5</c:v>
                </c:pt>
              </c:numCache>
            </c:numRef>
          </c:xVal>
          <c:yVal>
            <c:numRef>
              <c:f>[1]chart!$G$4:$G$16</c:f>
              <c:numCache>
                <c:formatCode>General</c:formatCode>
                <c:ptCount val="13"/>
                <c:pt idx="0">
                  <c:v>9.375</c:v>
                </c:pt>
                <c:pt idx="1">
                  <c:v>18.75</c:v>
                </c:pt>
                <c:pt idx="2">
                  <c:v>46.875</c:v>
                </c:pt>
                <c:pt idx="3">
                  <c:v>93.75</c:v>
                </c:pt>
                <c:pt idx="4">
                  <c:v>187.5</c:v>
                </c:pt>
                <c:pt idx="5">
                  <c:v>281.25</c:v>
                </c:pt>
                <c:pt idx="6">
                  <c:v>375</c:v>
                </c:pt>
                <c:pt idx="7">
                  <c:v>468.75</c:v>
                </c:pt>
                <c:pt idx="8">
                  <c:v>562.5</c:v>
                </c:pt>
                <c:pt idx="9">
                  <c:v>656.25</c:v>
                </c:pt>
                <c:pt idx="10">
                  <c:v>750</c:v>
                </c:pt>
                <c:pt idx="11">
                  <c:v>843.75</c:v>
                </c:pt>
                <c:pt idx="12">
                  <c:v>937.5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55-4C07-A830-E55E7985D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80119328"/>
        <c:axId val="1980121824"/>
      </c:scatterChart>
      <c:valAx>
        <c:axId val="1980119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80121824"/>
        <c:crosses val="autoZero"/>
        <c:crossBetween val="midCat"/>
      </c:valAx>
      <c:valAx>
        <c:axId val="198012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80119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[1]chart!$B$4:$B$16</c:f>
              <c:numCache>
                <c:formatCode>General</c:formatCode>
                <c:ptCount val="13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[1]chart!$D$4:$D$16</c:f>
              <c:numCache>
                <c:formatCode>General</c:formatCode>
                <c:ptCount val="13"/>
                <c:pt idx="0">
                  <c:v>9.9431818181818183</c:v>
                </c:pt>
                <c:pt idx="1">
                  <c:v>19.886363636363637</c:v>
                </c:pt>
                <c:pt idx="2">
                  <c:v>49.715909090909079</c:v>
                </c:pt>
                <c:pt idx="3">
                  <c:v>99.431818181818159</c:v>
                </c:pt>
                <c:pt idx="4">
                  <c:v>198.86363636363632</c:v>
                </c:pt>
                <c:pt idx="5">
                  <c:v>298.2954545454545</c:v>
                </c:pt>
                <c:pt idx="6">
                  <c:v>397.72727272727263</c:v>
                </c:pt>
                <c:pt idx="7">
                  <c:v>497.15909090909088</c:v>
                </c:pt>
                <c:pt idx="8">
                  <c:v>596.59090909090901</c:v>
                </c:pt>
                <c:pt idx="9">
                  <c:v>696.02272727272725</c:v>
                </c:pt>
                <c:pt idx="10">
                  <c:v>795.45454545454527</c:v>
                </c:pt>
                <c:pt idx="11">
                  <c:v>894.88636363636363</c:v>
                </c:pt>
                <c:pt idx="12">
                  <c:v>994.31818181818176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82-4531-997D-23382B690D9F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[1]chart!$B$4:$B$16</c:f>
              <c:numCache>
                <c:formatCode>General</c:formatCode>
                <c:ptCount val="13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[1]chart!$E$4:$E$16</c:f>
              <c:numCache>
                <c:formatCode>General</c:formatCode>
                <c:ptCount val="13"/>
                <c:pt idx="0">
                  <c:v>4.5833333333333339</c:v>
                </c:pt>
                <c:pt idx="1">
                  <c:v>9.1666666666666679</c:v>
                </c:pt>
                <c:pt idx="2">
                  <c:v>22.916666666666671</c:v>
                </c:pt>
                <c:pt idx="3">
                  <c:v>45.833333333333343</c:v>
                </c:pt>
                <c:pt idx="4">
                  <c:v>91.666666666666686</c:v>
                </c:pt>
                <c:pt idx="5">
                  <c:v>137.5</c:v>
                </c:pt>
                <c:pt idx="6">
                  <c:v>183.33333333333337</c:v>
                </c:pt>
                <c:pt idx="7">
                  <c:v>229.16666666666671</c:v>
                </c:pt>
                <c:pt idx="8">
                  <c:v>275</c:v>
                </c:pt>
                <c:pt idx="9">
                  <c:v>320.83333333333337</c:v>
                </c:pt>
                <c:pt idx="10">
                  <c:v>366.66666666666674</c:v>
                </c:pt>
                <c:pt idx="11">
                  <c:v>412.50000000000006</c:v>
                </c:pt>
                <c:pt idx="12">
                  <c:v>458.33333333333343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82-4531-997D-23382B690D9F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[1]chart!$B$4:$B$16</c:f>
              <c:numCache>
                <c:formatCode>General</c:formatCode>
                <c:ptCount val="13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[1]chart!$F$4:$F$16</c:f>
              <c:numCache>
                <c:formatCode>General</c:formatCode>
                <c:ptCount val="13"/>
                <c:pt idx="0">
                  <c:v>13.020833333333336</c:v>
                </c:pt>
                <c:pt idx="1">
                  <c:v>26.041666666666671</c:v>
                </c:pt>
                <c:pt idx="2">
                  <c:v>65.104166666666671</c:v>
                </c:pt>
                <c:pt idx="3">
                  <c:v>130.20833333333334</c:v>
                </c:pt>
                <c:pt idx="4">
                  <c:v>260.41666666666669</c:v>
                </c:pt>
                <c:pt idx="5">
                  <c:v>390.625</c:v>
                </c:pt>
                <c:pt idx="6">
                  <c:v>520.83333333333337</c:v>
                </c:pt>
                <c:pt idx="7">
                  <c:v>651.04166666666674</c:v>
                </c:pt>
                <c:pt idx="8">
                  <c:v>781.25</c:v>
                </c:pt>
                <c:pt idx="9">
                  <c:v>911.45833333333348</c:v>
                </c:pt>
                <c:pt idx="10">
                  <c:v>1041.6666666666667</c:v>
                </c:pt>
                <c:pt idx="11">
                  <c:v>1171.875</c:v>
                </c:pt>
                <c:pt idx="12">
                  <c:v>1302.0833333333335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482-4531-997D-23382B690D9F}"/>
            </c:ext>
          </c:extLst>
        </c:ser>
        <c:ser>
          <c:idx val="3"/>
          <c:order val="3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[1]chart!$B$4:$B$16</c:f>
              <c:numCache>
                <c:formatCode>General</c:formatCode>
                <c:ptCount val="13"/>
                <c:pt idx="0">
                  <c:v>10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300</c:v>
                </c:pt>
                <c:pt idx="6">
                  <c:v>400</c:v>
                </c:pt>
                <c:pt idx="7">
                  <c:v>500</c:v>
                </c:pt>
                <c:pt idx="8">
                  <c:v>600</c:v>
                </c:pt>
                <c:pt idx="9">
                  <c:v>700</c:v>
                </c:pt>
                <c:pt idx="10">
                  <c:v>800</c:v>
                </c:pt>
                <c:pt idx="11">
                  <c:v>900</c:v>
                </c:pt>
                <c:pt idx="12">
                  <c:v>1000</c:v>
                </c:pt>
              </c:numCache>
            </c:numRef>
          </c:xVal>
          <c:yVal>
            <c:numRef>
              <c:f>[1]chart!$G$4:$G$16</c:f>
              <c:numCache>
                <c:formatCode>General</c:formatCode>
                <c:ptCount val="13"/>
                <c:pt idx="0">
                  <c:v>9.375</c:v>
                </c:pt>
                <c:pt idx="1">
                  <c:v>18.75</c:v>
                </c:pt>
                <c:pt idx="2">
                  <c:v>46.875</c:v>
                </c:pt>
                <c:pt idx="3">
                  <c:v>93.75</c:v>
                </c:pt>
                <c:pt idx="4">
                  <c:v>187.5</c:v>
                </c:pt>
                <c:pt idx="5">
                  <c:v>281.25</c:v>
                </c:pt>
                <c:pt idx="6">
                  <c:v>375</c:v>
                </c:pt>
                <c:pt idx="7">
                  <c:v>468.75</c:v>
                </c:pt>
                <c:pt idx="8">
                  <c:v>562.5</c:v>
                </c:pt>
                <c:pt idx="9">
                  <c:v>656.25</c:v>
                </c:pt>
                <c:pt idx="10">
                  <c:v>750</c:v>
                </c:pt>
                <c:pt idx="11">
                  <c:v>843.75</c:v>
                </c:pt>
                <c:pt idx="12">
                  <c:v>937.5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82-4531-997D-23382B690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5656864"/>
        <c:axId val="1975655200"/>
      </c:scatterChart>
      <c:valAx>
        <c:axId val="197565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75655200"/>
        <c:crosses val="autoZero"/>
        <c:crossBetween val="midCat"/>
      </c:valAx>
      <c:valAx>
        <c:axId val="197565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975656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261937</xdr:colOff>
      <xdr:row>4</xdr:row>
      <xdr:rowOff>178592</xdr:rowOff>
    </xdr:from>
    <xdr:to>
      <xdr:col>14</xdr:col>
      <xdr:colOff>438150</xdr:colOff>
      <xdr:row>23</xdr:row>
      <xdr:rowOff>71437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27F203E5-DF41-46A1-AD58-47BD50FE83D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34437" y="702467"/>
          <a:ext cx="4426744" cy="6477001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11</xdr:col>
      <xdr:colOff>549276</xdr:colOff>
      <xdr:row>24</xdr:row>
      <xdr:rowOff>273052</xdr:rowOff>
    </xdr:from>
    <xdr:to>
      <xdr:col>17</xdr:col>
      <xdr:colOff>142081</xdr:colOff>
      <xdr:row>43</xdr:row>
      <xdr:rowOff>44019</xdr:rowOff>
    </xdr:to>
    <xdr:pic>
      <xdr:nvPicPr>
        <xdr:cNvPr id="3" name="3 - Εικόνα" descr="DJI_0017.JPG">
          <a:extLst>
            <a:ext uri="{FF2B5EF4-FFF2-40B4-BE49-F238E27FC236}">
              <a16:creationId xmlns:a16="http://schemas.microsoft.com/office/drawing/2014/main" id="{E6F80EB2-DF28-4771-9AF8-78DE42A6C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69701" y="7721602"/>
          <a:ext cx="5203030" cy="3600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773907"/>
          <a:ext cx="5519737" cy="617934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11</xdr:col>
      <xdr:colOff>549276</xdr:colOff>
      <xdr:row>24</xdr:row>
      <xdr:rowOff>273052</xdr:rowOff>
    </xdr:from>
    <xdr:to>
      <xdr:col>17</xdr:col>
      <xdr:colOff>142081</xdr:colOff>
      <xdr:row>43</xdr:row>
      <xdr:rowOff>44019</xdr:rowOff>
    </xdr:to>
    <xdr:pic>
      <xdr:nvPicPr>
        <xdr:cNvPr id="4" name="3 - Εικόνα" descr="DJI_0017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50651" y="7785896"/>
          <a:ext cx="5188743" cy="36047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773907"/>
          <a:ext cx="5519737" cy="6465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10</xdr:col>
      <xdr:colOff>361950</xdr:colOff>
      <xdr:row>24</xdr:row>
      <xdr:rowOff>19051</xdr:rowOff>
    </xdr:from>
    <xdr:to>
      <xdr:col>16</xdr:col>
      <xdr:colOff>723900</xdr:colOff>
      <xdr:row>40</xdr:row>
      <xdr:rowOff>151968</xdr:rowOff>
    </xdr:to>
    <xdr:pic>
      <xdr:nvPicPr>
        <xdr:cNvPr id="7" name="6 - Εικόνα" descr="DJI_0017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72775" y="7562851"/>
          <a:ext cx="5219700" cy="3390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1012032"/>
          <a:ext cx="5519737" cy="6465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10</xdr:col>
      <xdr:colOff>361950</xdr:colOff>
      <xdr:row>24</xdr:row>
      <xdr:rowOff>19051</xdr:rowOff>
    </xdr:from>
    <xdr:to>
      <xdr:col>16</xdr:col>
      <xdr:colOff>723900</xdr:colOff>
      <xdr:row>39</xdr:row>
      <xdr:rowOff>132918</xdr:rowOff>
    </xdr:to>
    <xdr:pic>
      <xdr:nvPicPr>
        <xdr:cNvPr id="5" name="4 - Εικόνα" descr="DJI_0017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72775" y="7562851"/>
          <a:ext cx="5219700" cy="33904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A444910C-E755-49C0-9CF9-B0AF97B281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1012032"/>
          <a:ext cx="5519737" cy="6465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10</xdr:col>
      <xdr:colOff>361950</xdr:colOff>
      <xdr:row>24</xdr:row>
      <xdr:rowOff>19051</xdr:rowOff>
    </xdr:from>
    <xdr:to>
      <xdr:col>16</xdr:col>
      <xdr:colOff>723900</xdr:colOff>
      <xdr:row>39</xdr:row>
      <xdr:rowOff>132918</xdr:rowOff>
    </xdr:to>
    <xdr:pic>
      <xdr:nvPicPr>
        <xdr:cNvPr id="3" name="4 - Εικόνα" descr="DJI_0017.JPG">
          <a:extLst>
            <a:ext uri="{FF2B5EF4-FFF2-40B4-BE49-F238E27FC236}">
              <a16:creationId xmlns:a16="http://schemas.microsoft.com/office/drawing/2014/main" id="{8E140A98-BF3C-46FB-AFE6-7981ADFD6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72775" y="7562851"/>
          <a:ext cx="5219700" cy="31809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392906</xdr:colOff>
      <xdr:row>4</xdr:row>
      <xdr:rowOff>250032</xdr:rowOff>
    </xdr:from>
    <xdr:to>
      <xdr:col>13</xdr:col>
      <xdr:colOff>426243</xdr:colOff>
      <xdr:row>23</xdr:row>
      <xdr:rowOff>333376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6131" y="773907"/>
          <a:ext cx="5519737" cy="6465094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5</xdr:col>
      <xdr:colOff>9525</xdr:colOff>
      <xdr:row>24</xdr:row>
      <xdr:rowOff>19051</xdr:rowOff>
    </xdr:from>
    <xdr:to>
      <xdr:col>13</xdr:col>
      <xdr:colOff>352425</xdr:colOff>
      <xdr:row>40</xdr:row>
      <xdr:rowOff>151968</xdr:rowOff>
    </xdr:to>
    <xdr:pic>
      <xdr:nvPicPr>
        <xdr:cNvPr id="7" name="6 - Εικόνα" descr="DJI_0017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2350" y="7324726"/>
          <a:ext cx="5219700" cy="36000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1</xdr:row>
      <xdr:rowOff>9524</xdr:rowOff>
    </xdr:from>
    <xdr:to>
      <xdr:col>16</xdr:col>
      <xdr:colOff>222250</xdr:colOff>
      <xdr:row>15</xdr:row>
      <xdr:rowOff>6350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B60B1CC0-95B2-467E-91D4-81E50C1C9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152400</xdr:colOff>
      <xdr:row>5</xdr:row>
      <xdr:rowOff>73025</xdr:rowOff>
    </xdr:from>
    <xdr:to>
      <xdr:col>27</xdr:col>
      <xdr:colOff>571500</xdr:colOff>
      <xdr:row>28</xdr:row>
      <xdr:rowOff>9525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16A09506-F6C4-4259-850C-4181512AE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papa\Downloads\GSD_new_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hantom_4pro"/>
      <sheetName val="Inspire_2_Zenmuse X5s"/>
      <sheetName val="Olympus 25 mm"/>
      <sheetName val="Oblique"/>
      <sheetName val="chart"/>
      <sheetName val="Sheet2"/>
    </sheetNames>
    <sheetDataSet>
      <sheetData sheetId="0"/>
      <sheetData sheetId="1"/>
      <sheetData sheetId="2"/>
      <sheetData sheetId="3"/>
      <sheetData sheetId="4">
        <row r="4">
          <cell r="B4">
            <v>10</v>
          </cell>
          <cell r="C4">
            <v>0.125</v>
          </cell>
          <cell r="D4">
            <v>9.9431818181818183</v>
          </cell>
          <cell r="E4">
            <v>4.5833333333333339</v>
          </cell>
          <cell r="F4">
            <v>13.020833333333336</v>
          </cell>
          <cell r="G4">
            <v>9.375</v>
          </cell>
        </row>
        <row r="5">
          <cell r="B5">
            <v>20</v>
          </cell>
          <cell r="C5">
            <v>0.25</v>
          </cell>
          <cell r="D5">
            <v>19.886363636363637</v>
          </cell>
          <cell r="E5">
            <v>9.1666666666666679</v>
          </cell>
          <cell r="F5">
            <v>26.041666666666671</v>
          </cell>
          <cell r="G5">
            <v>18.75</v>
          </cell>
        </row>
        <row r="6">
          <cell r="B6">
            <v>50</v>
          </cell>
          <cell r="C6">
            <v>0.625</v>
          </cell>
          <cell r="D6">
            <v>49.715909090909079</v>
          </cell>
          <cell r="E6">
            <v>22.916666666666671</v>
          </cell>
          <cell r="F6">
            <v>65.104166666666671</v>
          </cell>
          <cell r="G6">
            <v>46.875</v>
          </cell>
        </row>
        <row r="7">
          <cell r="B7">
            <v>100</v>
          </cell>
          <cell r="C7">
            <v>1.25</v>
          </cell>
          <cell r="D7">
            <v>99.431818181818159</v>
          </cell>
          <cell r="E7">
            <v>45.833333333333343</v>
          </cell>
          <cell r="F7">
            <v>130.20833333333334</v>
          </cell>
          <cell r="G7">
            <v>93.75</v>
          </cell>
        </row>
        <row r="8">
          <cell r="B8">
            <v>200</v>
          </cell>
          <cell r="C8">
            <v>2.5</v>
          </cell>
          <cell r="D8">
            <v>198.86363636363632</v>
          </cell>
          <cell r="E8">
            <v>91.666666666666686</v>
          </cell>
          <cell r="F8">
            <v>260.41666666666669</v>
          </cell>
          <cell r="G8">
            <v>187.5</v>
          </cell>
        </row>
        <row r="9">
          <cell r="B9">
            <v>300</v>
          </cell>
          <cell r="C9">
            <v>3.75</v>
          </cell>
          <cell r="D9">
            <v>298.2954545454545</v>
          </cell>
          <cell r="E9">
            <v>137.5</v>
          </cell>
          <cell r="F9">
            <v>390.625</v>
          </cell>
          <cell r="G9">
            <v>281.25</v>
          </cell>
        </row>
        <row r="10">
          <cell r="B10">
            <v>400</v>
          </cell>
          <cell r="C10">
            <v>5</v>
          </cell>
          <cell r="D10">
            <v>397.72727272727263</v>
          </cell>
          <cell r="E10">
            <v>183.33333333333337</v>
          </cell>
          <cell r="F10">
            <v>520.83333333333337</v>
          </cell>
          <cell r="G10">
            <v>375</v>
          </cell>
        </row>
        <row r="11">
          <cell r="B11">
            <v>500</v>
          </cell>
          <cell r="C11">
            <v>6.25</v>
          </cell>
          <cell r="D11">
            <v>497.15909090909088</v>
          </cell>
          <cell r="E11">
            <v>229.16666666666671</v>
          </cell>
          <cell r="F11">
            <v>651.04166666666674</v>
          </cell>
          <cell r="G11">
            <v>468.75</v>
          </cell>
        </row>
        <row r="12">
          <cell r="B12">
            <v>600</v>
          </cell>
          <cell r="C12">
            <v>7.5</v>
          </cell>
          <cell r="D12">
            <v>596.59090909090901</v>
          </cell>
          <cell r="E12">
            <v>275</v>
          </cell>
          <cell r="F12">
            <v>781.25</v>
          </cell>
          <cell r="G12">
            <v>562.5</v>
          </cell>
        </row>
        <row r="13">
          <cell r="B13">
            <v>700</v>
          </cell>
          <cell r="C13">
            <v>8.75</v>
          </cell>
          <cell r="D13">
            <v>696.02272727272725</v>
          </cell>
          <cell r="E13">
            <v>320.83333333333337</v>
          </cell>
          <cell r="F13">
            <v>911.45833333333348</v>
          </cell>
          <cell r="G13">
            <v>656.25</v>
          </cell>
        </row>
        <row r="14">
          <cell r="B14">
            <v>800</v>
          </cell>
          <cell r="C14">
            <v>10</v>
          </cell>
          <cell r="D14">
            <v>795.45454545454527</v>
          </cell>
          <cell r="E14">
            <v>366.66666666666674</v>
          </cell>
          <cell r="F14">
            <v>1041.6666666666667</v>
          </cell>
          <cell r="G14">
            <v>750</v>
          </cell>
        </row>
        <row r="15">
          <cell r="B15">
            <v>900</v>
          </cell>
          <cell r="C15">
            <v>11.25</v>
          </cell>
          <cell r="D15">
            <v>894.88636363636363</v>
          </cell>
          <cell r="E15">
            <v>412.50000000000006</v>
          </cell>
          <cell r="F15">
            <v>1171.875</v>
          </cell>
          <cell r="G15">
            <v>843.75</v>
          </cell>
        </row>
        <row r="16">
          <cell r="B16">
            <v>1000</v>
          </cell>
          <cell r="C16">
            <v>12.5</v>
          </cell>
          <cell r="D16">
            <v>994.31818181818176</v>
          </cell>
          <cell r="E16">
            <v>458.33333333333343</v>
          </cell>
          <cell r="F16">
            <v>1302.0833333333335</v>
          </cell>
          <cell r="G16">
            <v>937.5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pport.pix4d.com/hc/en-us/articles/20255980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pport.pix4d.com/hc/en-us/articles/20255980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upport.pix4d.com/hc/en-us/articles/20255980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support.pix4d.com/hc/en-us/articles/20255980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support.pix4d.com/hc/en-us/articles/20255980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upport.pix4d.com/hc/en-us/articles/202559809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002E6-37B7-4305-A8D8-355F5BD912EC}">
  <dimension ref="A1:P63"/>
  <sheetViews>
    <sheetView zoomScale="80" zoomScaleNormal="80" workbookViewId="0">
      <selection activeCell="P9" sqref="P9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5" max="5" width="24.85546875" customWidth="1"/>
    <col min="16" max="16" width="27.140625" customWidth="1"/>
    <col min="17" max="17" width="20.42578125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ht="11.2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hidden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31.5" x14ac:dyDescent="0.25">
      <c r="B6" s="13"/>
      <c r="C6" s="19"/>
      <c r="D6" s="15" t="s">
        <v>36</v>
      </c>
      <c r="E6" s="9"/>
      <c r="F6" s="9"/>
      <c r="G6" s="5"/>
      <c r="H6" s="5"/>
      <c r="I6" s="5"/>
      <c r="J6" s="5"/>
      <c r="K6" s="5"/>
      <c r="L6" s="5"/>
      <c r="M6" s="5"/>
      <c r="N6" s="1"/>
      <c r="P6" s="15" t="s">
        <v>59</v>
      </c>
    </row>
    <row r="7" spans="1:16" ht="42.75" customHeight="1" x14ac:dyDescent="0.25">
      <c r="B7" s="15" t="s">
        <v>35</v>
      </c>
      <c r="C7" s="21">
        <v>100</v>
      </c>
      <c r="D7" s="22">
        <f>10.5*P9/2.4*10</f>
        <v>54.6875</v>
      </c>
      <c r="E7" s="32" t="s">
        <v>80</v>
      </c>
      <c r="F7" s="9"/>
      <c r="G7" s="5"/>
      <c r="H7" s="5"/>
      <c r="I7" s="5"/>
      <c r="J7" s="5"/>
      <c r="K7" s="5"/>
      <c r="L7" s="5"/>
      <c r="M7" s="5"/>
      <c r="N7" s="1"/>
      <c r="P7" s="22">
        <f>0.025*C7</f>
        <v>2.5</v>
      </c>
    </row>
    <row r="8" spans="1:16" ht="31.5" x14ac:dyDescent="0.25">
      <c r="B8" s="13"/>
      <c r="C8" s="19"/>
      <c r="D8" s="13"/>
      <c r="E8" s="9"/>
      <c r="F8" s="9"/>
      <c r="G8" s="5"/>
      <c r="H8" s="5"/>
      <c r="I8" s="5"/>
      <c r="J8" s="5"/>
      <c r="K8" s="5"/>
      <c r="L8" s="5"/>
      <c r="M8" s="5"/>
      <c r="N8" s="1"/>
      <c r="P8" s="15" t="s">
        <v>46</v>
      </c>
    </row>
    <row r="9" spans="1:16" ht="31.5" x14ac:dyDescent="0.25">
      <c r="B9" s="13"/>
      <c r="C9" s="15" t="s">
        <v>38</v>
      </c>
      <c r="D9" s="13"/>
      <c r="E9" s="9"/>
      <c r="F9" s="9"/>
      <c r="G9" s="5"/>
      <c r="H9" s="5"/>
      <c r="I9" s="5"/>
      <c r="J9" s="5"/>
      <c r="K9" s="5"/>
      <c r="L9" s="5"/>
      <c r="M9" s="5"/>
      <c r="N9" s="1"/>
      <c r="P9" s="22">
        <f>P7/2</f>
        <v>1.25</v>
      </c>
    </row>
    <row r="10" spans="1:16" ht="21" x14ac:dyDescent="0.25">
      <c r="B10" s="15" t="s">
        <v>37</v>
      </c>
      <c r="C10" s="20">
        <f>D14*2/0.025</f>
        <v>99.963450292397653</v>
      </c>
      <c r="D10" s="23">
        <v>54.7</v>
      </c>
      <c r="E10" s="9"/>
      <c r="F10" s="9"/>
      <c r="G10" s="5"/>
      <c r="H10" s="5"/>
      <c r="I10" s="5"/>
      <c r="J10" s="5"/>
      <c r="K10" s="5"/>
      <c r="L10" s="5"/>
      <c r="M10" s="5"/>
      <c r="N10" s="1"/>
    </row>
    <row r="11" spans="1:16" ht="15.75" x14ac:dyDescent="0.25">
      <c r="B11" s="13"/>
      <c r="C11" s="13"/>
      <c r="D11" s="13"/>
      <c r="E11" s="9"/>
      <c r="F11" s="9"/>
      <c r="G11" s="5"/>
      <c r="H11" s="5"/>
      <c r="I11" s="5"/>
      <c r="J11" s="5"/>
      <c r="K11" s="5"/>
      <c r="L11" s="5"/>
      <c r="M11" s="5"/>
      <c r="N11" s="1"/>
    </row>
    <row r="12" spans="1:16" ht="22.5" x14ac:dyDescent="0.25">
      <c r="B12" s="37" t="s">
        <v>34</v>
      </c>
      <c r="C12" s="37"/>
      <c r="D12" s="37"/>
      <c r="E12" s="9"/>
      <c r="F12" s="9"/>
      <c r="G12" s="5"/>
      <c r="H12" s="5"/>
      <c r="I12" s="5"/>
      <c r="J12" s="5"/>
      <c r="K12" s="5"/>
      <c r="L12" s="5"/>
      <c r="M12" s="5"/>
      <c r="N12" s="1"/>
    </row>
    <row r="13" spans="1:16" ht="31.5" x14ac:dyDescent="0.25">
      <c r="B13" s="13"/>
      <c r="C13" s="13"/>
      <c r="D13" s="19"/>
      <c r="E13" s="9"/>
      <c r="F13" s="9"/>
      <c r="G13" s="5"/>
      <c r="H13" s="5"/>
      <c r="I13" s="5"/>
      <c r="J13" s="5"/>
      <c r="K13" s="5"/>
      <c r="L13" s="5"/>
      <c r="M13" s="5"/>
      <c r="N13" s="1"/>
      <c r="P13" s="15" t="s">
        <v>47</v>
      </c>
    </row>
    <row r="14" spans="1:16" ht="47.25" x14ac:dyDescent="0.25">
      <c r="B14" s="16" t="s">
        <v>33</v>
      </c>
      <c r="C14" s="18">
        <f>C35</f>
        <v>0.55738304093567248</v>
      </c>
      <c r="D14" s="18">
        <f>D35</f>
        <v>1.2495431286549707</v>
      </c>
      <c r="E14" s="9"/>
      <c r="F14" s="9"/>
      <c r="G14" s="5"/>
      <c r="H14" s="5"/>
      <c r="I14" s="5"/>
      <c r="J14" s="5"/>
      <c r="K14" s="5"/>
      <c r="L14" s="5"/>
      <c r="M14" s="5"/>
      <c r="N14" s="1"/>
      <c r="P14" s="20">
        <f>(D14*3)/0.025</f>
        <v>149.94517543859649</v>
      </c>
    </row>
    <row r="15" spans="1:16" ht="20.25" x14ac:dyDescent="0.25">
      <c r="B15" s="13"/>
      <c r="C15" s="19"/>
      <c r="D15" s="19"/>
      <c r="E15" s="9"/>
      <c r="F15" s="9"/>
      <c r="G15" s="5"/>
      <c r="H15" s="5"/>
      <c r="I15" s="5"/>
      <c r="J15" s="5"/>
      <c r="K15" s="5"/>
      <c r="L15" s="5"/>
      <c r="M15" s="5"/>
      <c r="N15" s="1"/>
    </row>
    <row r="16" spans="1:16" ht="31.5" x14ac:dyDescent="0.25">
      <c r="B16" s="16" t="s">
        <v>32</v>
      </c>
      <c r="C16" s="20">
        <f>C36</f>
        <v>30.5</v>
      </c>
      <c r="D16" s="20">
        <f>D36</f>
        <v>68.375</v>
      </c>
      <c r="E16" s="9"/>
      <c r="F16" s="9"/>
      <c r="G16" s="5"/>
      <c r="H16" s="5"/>
      <c r="I16" s="5"/>
      <c r="J16" s="5"/>
      <c r="K16" s="5"/>
      <c r="L16" s="5"/>
      <c r="M16" s="5"/>
      <c r="N16" s="1"/>
    </row>
    <row r="17" spans="2:14" ht="20.25" x14ac:dyDescent="0.25">
      <c r="B17" s="13"/>
      <c r="C17" s="19"/>
      <c r="D17" s="19"/>
      <c r="E17" s="9"/>
      <c r="F17" s="9"/>
      <c r="G17" s="5"/>
      <c r="H17" s="5"/>
      <c r="I17" s="5"/>
      <c r="J17" s="5"/>
      <c r="K17" s="5"/>
      <c r="L17" s="5"/>
      <c r="M17" s="5"/>
      <c r="N17" s="1"/>
    </row>
    <row r="18" spans="2:14" ht="31.5" x14ac:dyDescent="0.25">
      <c r="B18" s="16" t="s">
        <v>31</v>
      </c>
      <c r="C18" s="20">
        <f>C37</f>
        <v>20.333333333333332</v>
      </c>
      <c r="D18" s="20">
        <f>D37</f>
        <v>45.583333333333329</v>
      </c>
      <c r="E18" s="9"/>
      <c r="F18" s="9"/>
      <c r="G18" s="5"/>
      <c r="H18" s="5"/>
      <c r="I18" s="5"/>
      <c r="J18" s="5"/>
      <c r="K18" s="5"/>
      <c r="L18" s="5"/>
      <c r="M18" s="5"/>
      <c r="N18" s="1"/>
    </row>
    <row r="19" spans="2:14" ht="20.25" x14ac:dyDescent="0.25">
      <c r="B19" s="13"/>
      <c r="C19" s="19"/>
      <c r="D19" s="19"/>
      <c r="E19" s="9"/>
      <c r="F19" s="9"/>
      <c r="G19" s="5"/>
      <c r="H19" s="5"/>
      <c r="I19" s="5"/>
      <c r="J19" s="5"/>
      <c r="K19" s="5"/>
      <c r="L19" s="5"/>
      <c r="M19" s="5"/>
      <c r="N19" s="1"/>
    </row>
    <row r="20" spans="2:14" ht="33.75" x14ac:dyDescent="0.25">
      <c r="B20" s="16" t="s">
        <v>40</v>
      </c>
      <c r="C20" s="20">
        <f>C38</f>
        <v>620.16666666666663</v>
      </c>
      <c r="D20" s="20">
        <f>D38</f>
        <v>3116.7604166666665</v>
      </c>
      <c r="E20" s="9"/>
      <c r="F20" s="9"/>
      <c r="G20" s="5"/>
      <c r="H20" s="5"/>
      <c r="I20" s="5"/>
      <c r="J20" s="5"/>
      <c r="K20" s="5"/>
      <c r="L20" s="5"/>
      <c r="M20" s="5"/>
      <c r="N20" s="1"/>
    </row>
    <row r="21" spans="2:14" ht="20.25" x14ac:dyDescent="0.25">
      <c r="B21" s="13"/>
      <c r="C21" s="19"/>
      <c r="D21" s="13"/>
      <c r="E21" s="9"/>
      <c r="F21" s="9"/>
      <c r="G21" s="5"/>
      <c r="H21" s="5"/>
      <c r="I21" s="5"/>
      <c r="J21" s="5"/>
      <c r="K21" s="5"/>
      <c r="L21" s="5"/>
      <c r="M21" s="5"/>
      <c r="N21" s="1"/>
    </row>
    <row r="22" spans="2:14" ht="20.25" x14ac:dyDescent="0.25">
      <c r="B22" s="13"/>
      <c r="C22" s="19"/>
      <c r="D22" s="15" t="s">
        <v>42</v>
      </c>
      <c r="E22" s="9"/>
      <c r="F22" s="9"/>
      <c r="G22" s="5"/>
      <c r="H22" s="5"/>
      <c r="I22" s="5"/>
      <c r="J22" s="5"/>
      <c r="K22" s="5"/>
      <c r="L22" s="5"/>
      <c r="M22" s="5"/>
      <c r="N22" s="1"/>
    </row>
    <row r="23" spans="2:14" ht="31.5" x14ac:dyDescent="0.25">
      <c r="B23" s="15" t="s">
        <v>30</v>
      </c>
      <c r="C23" s="21">
        <v>80</v>
      </c>
      <c r="D23" s="20">
        <f>C53</f>
        <v>16.41</v>
      </c>
      <c r="E23" s="9"/>
      <c r="F23" s="9"/>
      <c r="G23" s="5"/>
      <c r="H23" s="5"/>
      <c r="I23" s="5"/>
      <c r="J23" s="5"/>
      <c r="K23" s="5"/>
      <c r="L23" s="5"/>
      <c r="M23" s="5"/>
      <c r="N23" s="1"/>
    </row>
    <row r="24" spans="2:14" ht="31.5" x14ac:dyDescent="0.25">
      <c r="B24" s="3"/>
      <c r="C24" s="3"/>
      <c r="D24" s="15" t="s">
        <v>44</v>
      </c>
      <c r="E24" s="3"/>
      <c r="F24" s="3"/>
      <c r="G24" s="5"/>
      <c r="H24" s="5"/>
      <c r="I24" s="5"/>
      <c r="J24" s="5"/>
      <c r="K24" s="5"/>
      <c r="L24" s="5"/>
      <c r="M24" s="5"/>
      <c r="N24" s="1"/>
    </row>
    <row r="25" spans="2:14" ht="31.5" x14ac:dyDescent="0.25">
      <c r="B25" s="15" t="s">
        <v>43</v>
      </c>
      <c r="C25" s="21">
        <v>70</v>
      </c>
      <c r="D25" s="20">
        <f>D16-((C25*D36)/100)</f>
        <v>20.512500000000003</v>
      </c>
      <c r="E25" s="3"/>
      <c r="F25" s="3"/>
      <c r="G25" s="5"/>
      <c r="H25" s="5"/>
      <c r="I25" s="5"/>
      <c r="J25" s="5"/>
      <c r="K25" s="5"/>
      <c r="L25" s="5"/>
      <c r="M25" s="5"/>
      <c r="N25" s="1"/>
    </row>
    <row r="26" spans="2:14" x14ac:dyDescent="0.25">
      <c r="B26" s="3"/>
      <c r="C26" s="3"/>
      <c r="D26" s="3"/>
      <c r="E26" s="3"/>
      <c r="F26" s="3"/>
      <c r="G26" s="5"/>
      <c r="H26" s="5"/>
      <c r="I26" s="5"/>
      <c r="J26" s="5"/>
      <c r="K26" s="5"/>
      <c r="L26" s="5"/>
      <c r="M26" s="5"/>
      <c r="N26" s="1"/>
    </row>
    <row r="27" spans="2:14" x14ac:dyDescent="0.25">
      <c r="B27" s="17" t="s">
        <v>29</v>
      </c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1"/>
    </row>
    <row r="28" spans="2:14" x14ac:dyDescent="0.25">
      <c r="B28" s="3"/>
      <c r="C28" s="3"/>
      <c r="D28" s="3"/>
      <c r="E28" s="3"/>
      <c r="F28" s="3"/>
      <c r="G28" s="5"/>
      <c r="H28" s="5"/>
      <c r="I28" s="5"/>
      <c r="J28" s="5"/>
      <c r="K28" s="5"/>
      <c r="L28" s="5"/>
      <c r="M28" s="5"/>
      <c r="N28" s="1"/>
    </row>
    <row r="29" spans="2:14" x14ac:dyDescent="0.25">
      <c r="B29" s="25" t="s">
        <v>28</v>
      </c>
      <c r="C29" s="25">
        <v>13.2</v>
      </c>
      <c r="D29" s="25" t="s">
        <v>71</v>
      </c>
      <c r="E29" s="26" t="s">
        <v>27</v>
      </c>
      <c r="F29" s="26"/>
      <c r="G29" s="26"/>
      <c r="H29" s="26"/>
      <c r="I29" s="26"/>
      <c r="J29" s="5"/>
      <c r="K29" s="5"/>
      <c r="L29" s="5"/>
      <c r="M29" s="5"/>
      <c r="N29" s="1"/>
    </row>
    <row r="30" spans="2:14" x14ac:dyDescent="0.25">
      <c r="B30" s="25" t="s">
        <v>60</v>
      </c>
      <c r="C30" s="25">
        <v>10.56</v>
      </c>
      <c r="D30" s="25">
        <v>24.4</v>
      </c>
      <c r="E30" s="26" t="s">
        <v>26</v>
      </c>
      <c r="F30" s="26"/>
      <c r="G30" s="26"/>
      <c r="H30" s="26"/>
      <c r="I30" s="26"/>
      <c r="J30" s="5"/>
      <c r="K30" s="5"/>
      <c r="L30" s="5"/>
      <c r="M30" s="5"/>
      <c r="N30" s="1"/>
    </row>
    <row r="31" spans="2:14" x14ac:dyDescent="0.25">
      <c r="B31" s="25" t="s">
        <v>25</v>
      </c>
      <c r="C31" s="30">
        <f>C30/1000</f>
        <v>1.056E-2</v>
      </c>
      <c r="D31" s="27">
        <f>D30/1000</f>
        <v>2.4399999999999998E-2</v>
      </c>
      <c r="E31" s="26" t="s">
        <v>24</v>
      </c>
      <c r="F31" s="26"/>
      <c r="G31" s="26"/>
      <c r="H31" s="26"/>
      <c r="I31" s="26"/>
      <c r="J31" s="5"/>
      <c r="K31" s="5"/>
      <c r="L31" s="5"/>
      <c r="M31" s="5"/>
      <c r="N31" s="1"/>
    </row>
    <row r="32" spans="2:14" x14ac:dyDescent="0.25">
      <c r="B32" s="14" t="s">
        <v>23</v>
      </c>
      <c r="C32" s="14">
        <f>C39*D31*10</f>
        <v>24.4</v>
      </c>
      <c r="D32" s="14">
        <f>D10</f>
        <v>54.7</v>
      </c>
      <c r="E32" s="10" t="s">
        <v>22</v>
      </c>
      <c r="F32" s="10"/>
      <c r="G32" s="11"/>
      <c r="H32" s="11"/>
      <c r="I32" s="6"/>
      <c r="J32" s="6"/>
      <c r="K32" s="6"/>
      <c r="L32" s="6"/>
      <c r="M32" s="6"/>
      <c r="N32" s="1"/>
    </row>
    <row r="33" spans="2:14" x14ac:dyDescent="0.25">
      <c r="B33" s="25" t="s">
        <v>21</v>
      </c>
      <c r="C33" s="25">
        <v>5472</v>
      </c>
      <c r="D33" s="25"/>
      <c r="E33" s="26" t="s">
        <v>20</v>
      </c>
      <c r="F33" s="26"/>
      <c r="G33" s="28"/>
      <c r="H33" s="12"/>
      <c r="I33" s="7"/>
      <c r="J33" s="7"/>
      <c r="K33" s="7"/>
      <c r="L33" s="7"/>
      <c r="M33" s="7"/>
      <c r="N33" s="1"/>
    </row>
    <row r="34" spans="2:14" x14ac:dyDescent="0.25">
      <c r="B34" s="25" t="s">
        <v>19</v>
      </c>
      <c r="C34" s="25">
        <v>3648</v>
      </c>
      <c r="D34" s="25"/>
      <c r="E34" s="26" t="s">
        <v>18</v>
      </c>
      <c r="F34" s="26"/>
      <c r="G34" s="26"/>
      <c r="H34" s="10"/>
      <c r="I34" s="5"/>
      <c r="J34" s="5"/>
      <c r="K34" s="5"/>
      <c r="L34" s="8"/>
      <c r="M34" s="5"/>
      <c r="N34" s="1"/>
    </row>
    <row r="35" spans="2:14" x14ac:dyDescent="0.25">
      <c r="B35" s="14" t="s">
        <v>17</v>
      </c>
      <c r="C35" s="14">
        <f>(C29*C32*100)/(C30*C33)</f>
        <v>0.55738304093567248</v>
      </c>
      <c r="D35" s="14">
        <f>(C29*D32*100)/(C30*C33)</f>
        <v>1.2495431286549707</v>
      </c>
      <c r="E35" s="10" t="s">
        <v>16</v>
      </c>
      <c r="F35" s="10"/>
      <c r="G35" s="10"/>
      <c r="H35" s="10"/>
      <c r="I35" s="5"/>
      <c r="J35" s="5"/>
      <c r="K35" s="5"/>
      <c r="L35" s="5"/>
      <c r="M35" s="5"/>
      <c r="N35" s="1"/>
    </row>
    <row r="36" spans="2:14" x14ac:dyDescent="0.25">
      <c r="B36" s="14" t="s">
        <v>15</v>
      </c>
      <c r="C36" s="14">
        <f>(C35*C33)/100</f>
        <v>30.5</v>
      </c>
      <c r="D36" s="14">
        <f>(D35*C33)/100</f>
        <v>68.375</v>
      </c>
      <c r="E36" s="10" t="s">
        <v>14</v>
      </c>
      <c r="F36" s="10"/>
      <c r="G36" s="10"/>
      <c r="H36" s="10"/>
      <c r="I36" s="5"/>
      <c r="J36" s="5"/>
      <c r="K36" s="5"/>
      <c r="L36" s="5"/>
      <c r="M36" s="5"/>
      <c r="N36" s="1"/>
    </row>
    <row r="37" spans="2:14" x14ac:dyDescent="0.25">
      <c r="B37" s="14" t="s">
        <v>41</v>
      </c>
      <c r="C37" s="14">
        <f>(C35*C34)/100</f>
        <v>20.333333333333332</v>
      </c>
      <c r="D37" s="14">
        <f>(D35*C34)/100</f>
        <v>45.583333333333329</v>
      </c>
      <c r="E37" s="10" t="s">
        <v>13</v>
      </c>
      <c r="F37" s="10"/>
      <c r="G37" s="10"/>
      <c r="H37" s="10"/>
      <c r="I37" s="5"/>
      <c r="J37" s="5"/>
      <c r="K37" s="5"/>
      <c r="L37" s="5"/>
      <c r="M37" s="5"/>
      <c r="N37" s="1"/>
    </row>
    <row r="38" spans="2:14" x14ac:dyDescent="0.25">
      <c r="B38" s="14" t="s">
        <v>12</v>
      </c>
      <c r="C38" s="14">
        <f>C36*C37</f>
        <v>620.16666666666663</v>
      </c>
      <c r="D38" s="14">
        <f>D36*D37</f>
        <v>3116.7604166666665</v>
      </c>
      <c r="E38" s="10" t="s">
        <v>11</v>
      </c>
      <c r="F38" s="10"/>
      <c r="G38" s="10"/>
      <c r="H38" s="10"/>
      <c r="I38" s="5"/>
      <c r="J38" s="5"/>
      <c r="K38" s="5"/>
      <c r="L38" s="5"/>
      <c r="M38" s="5"/>
      <c r="N38" s="1"/>
    </row>
    <row r="39" spans="2:14" x14ac:dyDescent="0.25">
      <c r="B39" s="14" t="s">
        <v>10</v>
      </c>
      <c r="C39" s="14">
        <f>C7</f>
        <v>100</v>
      </c>
      <c r="D39" s="14">
        <f>(1/(D31/D32))/10</f>
        <v>224.18032786885252</v>
      </c>
      <c r="E39" s="10"/>
      <c r="F39" s="10"/>
      <c r="G39" s="10"/>
      <c r="H39" s="10"/>
      <c r="I39" s="5"/>
      <c r="J39" s="5"/>
      <c r="K39" s="5"/>
      <c r="L39" s="5"/>
      <c r="M39" s="5"/>
      <c r="N39" s="1"/>
    </row>
    <row r="40" spans="2:14" x14ac:dyDescent="0.25">
      <c r="B40" s="14"/>
      <c r="C40" s="14"/>
      <c r="D40" s="14">
        <v>160000</v>
      </c>
      <c r="E40" s="10"/>
      <c r="F40" s="10"/>
      <c r="G40" s="10"/>
      <c r="H40" s="10"/>
      <c r="I40" s="5"/>
      <c r="J40" s="5"/>
      <c r="K40" s="5"/>
      <c r="L40" s="5"/>
      <c r="M40" s="5"/>
      <c r="N40" s="1"/>
    </row>
    <row r="41" spans="2:14" x14ac:dyDescent="0.25">
      <c r="B41" s="14" t="s">
        <v>9</v>
      </c>
      <c r="C41" s="14">
        <v>3000</v>
      </c>
      <c r="D41" s="14"/>
      <c r="E41" s="10"/>
      <c r="F41" s="10"/>
      <c r="G41" s="10"/>
      <c r="H41" s="10"/>
      <c r="I41" s="5"/>
      <c r="J41" s="5"/>
      <c r="K41" s="5"/>
      <c r="L41" s="5"/>
      <c r="M41" s="5"/>
      <c r="N41" s="1"/>
    </row>
    <row r="42" spans="2:14" x14ac:dyDescent="0.25">
      <c r="B42" s="14" t="s">
        <v>8</v>
      </c>
      <c r="C42" s="14">
        <f>C41/C37</f>
        <v>147.54098360655738</v>
      </c>
      <c r="D42" s="14">
        <f>C41/D38</f>
        <v>0.96253789157411718</v>
      </c>
      <c r="E42" s="10"/>
      <c r="F42" s="10"/>
      <c r="G42" s="10"/>
      <c r="H42" s="10"/>
      <c r="I42" s="5"/>
      <c r="J42" s="5"/>
      <c r="K42" s="5"/>
      <c r="L42" s="5"/>
      <c r="M42" s="5"/>
      <c r="N42" s="1"/>
    </row>
    <row r="43" spans="2:14" x14ac:dyDescent="0.25">
      <c r="B43" s="14"/>
      <c r="C43" s="14"/>
      <c r="D43" s="14"/>
      <c r="E43" s="10"/>
      <c r="F43" s="10"/>
      <c r="G43" s="10"/>
      <c r="H43" s="10"/>
      <c r="I43" s="5"/>
      <c r="J43" s="5"/>
      <c r="K43" s="5"/>
      <c r="L43" s="5"/>
      <c r="M43" s="5"/>
      <c r="N43" s="1"/>
    </row>
    <row r="44" spans="2:14" x14ac:dyDescent="0.25">
      <c r="B44" s="14"/>
      <c r="C44" s="14"/>
      <c r="D44" s="14"/>
      <c r="E44" s="10"/>
      <c r="F44" s="10"/>
      <c r="G44" s="10"/>
      <c r="H44" s="10"/>
      <c r="I44" s="5"/>
      <c r="J44" s="5"/>
      <c r="K44" s="5"/>
      <c r="L44" s="5"/>
      <c r="M44" s="5"/>
      <c r="N44" s="1"/>
    </row>
    <row r="45" spans="2:14" x14ac:dyDescent="0.25">
      <c r="B45" s="14" t="s">
        <v>1</v>
      </c>
      <c r="C45" s="14">
        <v>15</v>
      </c>
      <c r="D45" s="14" t="s">
        <v>0</v>
      </c>
      <c r="E45" s="10"/>
      <c r="F45" s="10"/>
      <c r="G45" s="10"/>
      <c r="H45" s="10"/>
      <c r="I45" s="5"/>
      <c r="J45" s="5"/>
      <c r="K45" s="5"/>
      <c r="L45" s="5"/>
      <c r="M45" s="5"/>
      <c r="N45" s="1"/>
    </row>
    <row r="46" spans="2:14" x14ac:dyDescent="0.25">
      <c r="B46" s="14" t="s">
        <v>3</v>
      </c>
      <c r="C46" s="14">
        <v>2</v>
      </c>
      <c r="D46" s="14" t="s">
        <v>2</v>
      </c>
      <c r="E46" s="10"/>
      <c r="F46" s="10"/>
      <c r="G46" s="10"/>
      <c r="H46" s="10"/>
      <c r="I46" s="5"/>
      <c r="J46" s="5"/>
      <c r="K46" s="5"/>
      <c r="L46" s="5"/>
      <c r="M46" s="5"/>
      <c r="N46" s="1"/>
    </row>
    <row r="47" spans="2:14" x14ac:dyDescent="0.25">
      <c r="B47" s="14" t="s">
        <v>5</v>
      </c>
      <c r="C47" s="14">
        <f>((C45*1000)*C46)/3600</f>
        <v>8.3333333333333339</v>
      </c>
      <c r="D47" s="14" t="s">
        <v>4</v>
      </c>
      <c r="E47" s="10"/>
      <c r="F47" s="10"/>
      <c r="G47" s="10"/>
      <c r="H47" s="10"/>
      <c r="I47" s="5"/>
      <c r="J47" s="5"/>
      <c r="K47" s="5"/>
      <c r="L47" s="5"/>
      <c r="M47" s="5"/>
      <c r="N47" s="1"/>
    </row>
    <row r="48" spans="2:14" x14ac:dyDescent="0.25">
      <c r="B48" s="14" t="s">
        <v>7</v>
      </c>
      <c r="C48" s="14">
        <f>100-(100*C47)/D37</f>
        <v>81.71846435100548</v>
      </c>
      <c r="D48" s="14" t="s">
        <v>6</v>
      </c>
      <c r="E48" s="10"/>
      <c r="F48" s="10"/>
      <c r="G48" s="10"/>
      <c r="H48" s="10"/>
      <c r="I48" s="5"/>
      <c r="J48" s="5"/>
      <c r="K48" s="5"/>
      <c r="L48" s="5"/>
      <c r="M48" s="5"/>
      <c r="N48" s="1"/>
    </row>
    <row r="49" spans="2:14" x14ac:dyDescent="0.25">
      <c r="B49" s="14"/>
      <c r="C49" s="14"/>
      <c r="D49" s="14"/>
      <c r="E49" s="10"/>
      <c r="F49" s="10"/>
      <c r="G49" s="10"/>
      <c r="H49" s="10"/>
      <c r="I49" s="5"/>
      <c r="J49" s="5"/>
      <c r="K49" s="5"/>
      <c r="L49" s="5"/>
      <c r="M49" s="5"/>
      <c r="N49" s="1"/>
    </row>
    <row r="50" spans="2:14" x14ac:dyDescent="0.25">
      <c r="B50" s="14" t="s">
        <v>7</v>
      </c>
      <c r="C50" s="14">
        <f>C23</f>
        <v>80</v>
      </c>
      <c r="D50" s="14" t="s">
        <v>6</v>
      </c>
      <c r="E50" s="10"/>
      <c r="F50" s="10"/>
      <c r="G50" s="10"/>
      <c r="H50" s="10"/>
      <c r="I50" s="5"/>
      <c r="J50" s="5"/>
      <c r="K50" s="5"/>
      <c r="L50" s="5"/>
      <c r="M50" s="5"/>
      <c r="N50" s="1"/>
    </row>
    <row r="51" spans="2:14" x14ac:dyDescent="0.25">
      <c r="B51" s="14" t="s">
        <v>5</v>
      </c>
      <c r="C51" s="14">
        <f>D37-(D37*C50)/100</f>
        <v>9.1166666666666671</v>
      </c>
      <c r="D51" s="14" t="s">
        <v>4</v>
      </c>
      <c r="E51" s="10"/>
      <c r="F51" s="10"/>
      <c r="G51" s="10"/>
      <c r="H51" s="10"/>
      <c r="I51" s="5"/>
      <c r="J51" s="5"/>
      <c r="K51" s="5"/>
      <c r="L51" s="5"/>
      <c r="M51" s="5"/>
      <c r="N51" s="1"/>
    </row>
    <row r="52" spans="2:14" x14ac:dyDescent="0.25">
      <c r="B52" s="14" t="s">
        <v>3</v>
      </c>
      <c r="C52" s="14">
        <v>2</v>
      </c>
      <c r="D52" s="14" t="s">
        <v>2</v>
      </c>
      <c r="E52" s="10"/>
      <c r="F52" s="10"/>
      <c r="G52" s="10"/>
      <c r="H52" s="10"/>
      <c r="I52" s="5"/>
      <c r="J52" s="5"/>
      <c r="K52" s="5"/>
      <c r="L52" s="5"/>
      <c r="M52" s="5"/>
      <c r="N52" s="1"/>
    </row>
    <row r="53" spans="2:14" x14ac:dyDescent="0.25">
      <c r="B53" s="14" t="s">
        <v>1</v>
      </c>
      <c r="C53" s="14">
        <f>((C51*3600)/C52)/1000</f>
        <v>16.41</v>
      </c>
      <c r="D53" s="14" t="s">
        <v>0</v>
      </c>
      <c r="E53" s="10"/>
      <c r="F53" s="10"/>
      <c r="G53" s="10"/>
      <c r="H53" s="10"/>
      <c r="I53" s="5"/>
      <c r="J53" s="5"/>
      <c r="K53" s="5"/>
      <c r="L53" s="5"/>
      <c r="M53" s="5"/>
      <c r="N53" s="1"/>
    </row>
    <row r="54" spans="2:14" x14ac:dyDescent="0.25">
      <c r="N54" s="1"/>
    </row>
    <row r="55" spans="2:14" x14ac:dyDescent="0.25">
      <c r="N55" s="1"/>
    </row>
    <row r="56" spans="2:14" x14ac:dyDescent="0.25">
      <c r="N56" s="1"/>
    </row>
    <row r="57" spans="2:14" x14ac:dyDescent="0.25">
      <c r="N57" s="1"/>
    </row>
    <row r="58" spans="2:14" x14ac:dyDescent="0.25">
      <c r="N58" s="1"/>
    </row>
    <row r="59" spans="2:14" x14ac:dyDescent="0.25">
      <c r="N59" s="1"/>
    </row>
    <row r="60" spans="2:14" x14ac:dyDescent="0.25">
      <c r="N60" s="1"/>
    </row>
    <row r="61" spans="2:14" x14ac:dyDescent="0.25">
      <c r="N61" s="1"/>
    </row>
    <row r="62" spans="2:14" x14ac:dyDescent="0.25">
      <c r="N62" s="1"/>
    </row>
    <row r="63" spans="2:14" x14ac:dyDescent="0.25">
      <c r="N63" s="1"/>
    </row>
  </sheetData>
  <mergeCells count="2">
    <mergeCell ref="A1:N4"/>
    <mergeCell ref="B12:D12"/>
  </mergeCells>
  <hyperlinks>
    <hyperlink ref="E35" r:id="rId1" display="= Ground Sampling Distance (centimeters/pixel)" xr:uid="{03420661-3F66-4B06-8632-A11DE6888BE2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3"/>
  <sheetViews>
    <sheetView zoomScale="80" zoomScaleNormal="80" workbookViewId="0">
      <selection activeCell="C11" sqref="C11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0.42578125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ht="11.25" customHeight="1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hidden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31.5" x14ac:dyDescent="0.25">
      <c r="B6" s="13"/>
      <c r="C6" s="19"/>
      <c r="D6" s="15" t="s">
        <v>36</v>
      </c>
      <c r="E6" s="9"/>
      <c r="F6" s="9"/>
      <c r="G6" s="5"/>
      <c r="H6" s="5"/>
      <c r="I6" s="5"/>
      <c r="J6" s="5"/>
      <c r="K6" s="5"/>
      <c r="L6" s="5"/>
      <c r="M6" s="5"/>
      <c r="N6" s="1"/>
      <c r="P6" s="15" t="s">
        <v>59</v>
      </c>
    </row>
    <row r="7" spans="1:16" ht="31.5" x14ac:dyDescent="0.25">
      <c r="B7" s="15" t="s">
        <v>35</v>
      </c>
      <c r="C7" s="21">
        <v>100</v>
      </c>
      <c r="D7" s="22">
        <f>8.8*P9/2.4*10</f>
        <v>45.833333333333343</v>
      </c>
      <c r="E7" s="9"/>
      <c r="F7" s="9"/>
      <c r="G7" s="5"/>
      <c r="H7" s="5"/>
      <c r="I7" s="5"/>
      <c r="J7" s="5"/>
      <c r="K7" s="5"/>
      <c r="L7" s="5"/>
      <c r="M7" s="5"/>
      <c r="N7" s="1"/>
      <c r="P7" s="22">
        <f>0.025*C7</f>
        <v>2.5</v>
      </c>
    </row>
    <row r="8" spans="1:16" ht="31.5" x14ac:dyDescent="0.25">
      <c r="B8" s="13"/>
      <c r="C8" s="19"/>
      <c r="D8" s="13"/>
      <c r="E8" s="9"/>
      <c r="F8" s="9"/>
      <c r="G8" s="5"/>
      <c r="H8" s="5"/>
      <c r="I8" s="5"/>
      <c r="J8" s="5"/>
      <c r="K8" s="5"/>
      <c r="L8" s="5"/>
      <c r="M8" s="5"/>
      <c r="N8" s="1"/>
      <c r="P8" s="15" t="s">
        <v>46</v>
      </c>
    </row>
    <row r="9" spans="1:16" ht="31.5" x14ac:dyDescent="0.25">
      <c r="B9" s="13"/>
      <c r="C9" s="15" t="s">
        <v>38</v>
      </c>
      <c r="D9" s="13"/>
      <c r="E9" s="9"/>
      <c r="F9" s="9"/>
      <c r="G9" s="5"/>
      <c r="H9" s="5"/>
      <c r="I9" s="5"/>
      <c r="J9" s="5"/>
      <c r="K9" s="5"/>
      <c r="L9" s="5"/>
      <c r="M9" s="5"/>
      <c r="N9" s="1"/>
      <c r="P9" s="22">
        <f>P7/2</f>
        <v>1.25</v>
      </c>
    </row>
    <row r="10" spans="1:16" ht="21" x14ac:dyDescent="0.25">
      <c r="B10" s="15" t="s">
        <v>37</v>
      </c>
      <c r="C10" s="20">
        <f>D14*2/0.025</f>
        <v>98.206627680311868</v>
      </c>
      <c r="D10" s="23">
        <v>45.8</v>
      </c>
      <c r="E10" s="9"/>
      <c r="F10" s="9"/>
      <c r="G10" s="5"/>
      <c r="H10" s="5"/>
      <c r="I10" s="5"/>
      <c r="J10" s="5"/>
      <c r="K10" s="5"/>
      <c r="L10" s="5"/>
      <c r="M10" s="5"/>
      <c r="N10" s="1"/>
    </row>
    <row r="11" spans="1:16" ht="15.75" x14ac:dyDescent="0.25">
      <c r="B11" s="13"/>
      <c r="C11" s="13"/>
      <c r="D11" s="13"/>
      <c r="E11" s="9"/>
      <c r="F11" s="9"/>
      <c r="G11" s="5"/>
      <c r="H11" s="5"/>
      <c r="I11" s="5"/>
      <c r="J11" s="5"/>
      <c r="K11" s="5"/>
      <c r="L11" s="5"/>
      <c r="M11" s="5"/>
      <c r="N11" s="1"/>
    </row>
    <row r="12" spans="1:16" ht="22.5" x14ac:dyDescent="0.25">
      <c r="B12" s="37" t="s">
        <v>34</v>
      </c>
      <c r="C12" s="37"/>
      <c r="D12" s="37"/>
      <c r="E12" s="9"/>
      <c r="F12" s="9"/>
      <c r="G12" s="5"/>
      <c r="H12" s="5"/>
      <c r="I12" s="5"/>
      <c r="J12" s="5"/>
      <c r="K12" s="5"/>
      <c r="L12" s="5"/>
      <c r="M12" s="5"/>
      <c r="N12" s="1"/>
    </row>
    <row r="13" spans="1:16" ht="31.5" x14ac:dyDescent="0.25">
      <c r="B13" s="13"/>
      <c r="C13" s="13"/>
      <c r="D13" s="19"/>
      <c r="E13" s="9"/>
      <c r="F13" s="9"/>
      <c r="G13" s="5"/>
      <c r="H13" s="5"/>
      <c r="I13" s="5"/>
      <c r="J13" s="5"/>
      <c r="K13" s="5"/>
      <c r="L13" s="5"/>
      <c r="M13" s="5"/>
      <c r="N13" s="1"/>
      <c r="P13" s="15" t="s">
        <v>47</v>
      </c>
    </row>
    <row r="14" spans="1:16" ht="47.25" x14ac:dyDescent="0.25">
      <c r="B14" s="16" t="s">
        <v>33</v>
      </c>
      <c r="C14" s="18">
        <f>C35</f>
        <v>0.65399610136452246</v>
      </c>
      <c r="D14" s="18">
        <f>D35</f>
        <v>1.2275828460038984</v>
      </c>
      <c r="E14" s="9"/>
      <c r="F14" s="9"/>
      <c r="G14" s="5"/>
      <c r="H14" s="5"/>
      <c r="I14" s="5"/>
      <c r="J14" s="5"/>
      <c r="K14" s="5"/>
      <c r="L14" s="5"/>
      <c r="M14" s="5"/>
      <c r="N14" s="1"/>
      <c r="P14" s="20">
        <f>(D14*3)/0.025</f>
        <v>147.30994152046782</v>
      </c>
    </row>
    <row r="15" spans="1:16" ht="20.25" x14ac:dyDescent="0.25">
      <c r="B15" s="13"/>
      <c r="C15" s="19"/>
      <c r="D15" s="19"/>
      <c r="E15" s="9"/>
      <c r="F15" s="9"/>
      <c r="G15" s="5"/>
      <c r="H15" s="5"/>
      <c r="I15" s="5"/>
      <c r="J15" s="5"/>
      <c r="K15" s="5"/>
      <c r="L15" s="5"/>
      <c r="M15" s="5"/>
      <c r="N15" s="1"/>
    </row>
    <row r="16" spans="1:16" ht="31.5" x14ac:dyDescent="0.25">
      <c r="B16" s="16" t="s">
        <v>32</v>
      </c>
      <c r="C16" s="20">
        <f>C36</f>
        <v>35.786666666666669</v>
      </c>
      <c r="D16" s="20">
        <f>D36</f>
        <v>67.173333333333318</v>
      </c>
      <c r="E16" s="9"/>
      <c r="F16" s="9"/>
      <c r="G16" s="5"/>
      <c r="H16" s="5"/>
      <c r="I16" s="5"/>
      <c r="J16" s="5"/>
      <c r="K16" s="5"/>
      <c r="L16" s="5"/>
      <c r="M16" s="5"/>
      <c r="N16" s="1"/>
    </row>
    <row r="17" spans="2:14" ht="20.25" x14ac:dyDescent="0.25">
      <c r="B17" s="13"/>
      <c r="C17" s="19"/>
      <c r="D17" s="19"/>
      <c r="E17" s="9"/>
      <c r="F17" s="9"/>
      <c r="G17" s="5"/>
      <c r="H17" s="5"/>
      <c r="I17" s="5"/>
      <c r="J17" s="5"/>
      <c r="K17" s="5"/>
      <c r="L17" s="5"/>
      <c r="M17" s="5"/>
      <c r="N17" s="1"/>
    </row>
    <row r="18" spans="2:14" ht="31.5" x14ac:dyDescent="0.25">
      <c r="B18" s="16" t="s">
        <v>31</v>
      </c>
      <c r="C18" s="20">
        <f>C37</f>
        <v>23.857777777777777</v>
      </c>
      <c r="D18" s="20">
        <f>D37</f>
        <v>44.782222222222217</v>
      </c>
      <c r="E18" s="9"/>
      <c r="F18" s="9"/>
      <c r="G18" s="5"/>
      <c r="H18" s="5"/>
      <c r="I18" s="5"/>
      <c r="J18" s="5"/>
      <c r="K18" s="5"/>
      <c r="L18" s="5"/>
      <c r="M18" s="5"/>
      <c r="N18" s="1"/>
    </row>
    <row r="19" spans="2:14" ht="20.25" x14ac:dyDescent="0.25">
      <c r="B19" s="13"/>
      <c r="C19" s="19"/>
      <c r="D19" s="19"/>
      <c r="E19" s="9"/>
      <c r="F19" s="9"/>
      <c r="G19" s="5"/>
      <c r="H19" s="5"/>
      <c r="I19" s="5"/>
      <c r="J19" s="5"/>
      <c r="K19" s="5"/>
      <c r="L19" s="5"/>
      <c r="M19" s="5"/>
      <c r="N19" s="1"/>
    </row>
    <row r="20" spans="2:14" ht="33.75" x14ac:dyDescent="0.25">
      <c r="B20" s="16" t="s">
        <v>40</v>
      </c>
      <c r="C20" s="20">
        <f>C38</f>
        <v>853.79034074074082</v>
      </c>
      <c r="D20" s="20">
        <f>D38</f>
        <v>3008.1711407407397</v>
      </c>
      <c r="E20" s="9"/>
      <c r="F20" s="9"/>
      <c r="G20" s="5"/>
      <c r="H20" s="5"/>
      <c r="I20" s="5"/>
      <c r="J20" s="5"/>
      <c r="K20" s="5"/>
      <c r="L20" s="5"/>
      <c r="M20" s="5"/>
      <c r="N20" s="1"/>
    </row>
    <row r="21" spans="2:14" ht="20.25" x14ac:dyDescent="0.25">
      <c r="B21" s="13"/>
      <c r="C21" s="19"/>
      <c r="D21" s="13"/>
      <c r="E21" s="9"/>
      <c r="F21" s="9"/>
      <c r="G21" s="5"/>
      <c r="H21" s="5"/>
      <c r="I21" s="5"/>
      <c r="J21" s="5"/>
      <c r="K21" s="5"/>
      <c r="L21" s="5"/>
      <c r="M21" s="5"/>
      <c r="N21" s="1"/>
    </row>
    <row r="22" spans="2:14" ht="20.25" x14ac:dyDescent="0.25">
      <c r="B22" s="13"/>
      <c r="C22" s="19"/>
      <c r="D22" s="15" t="s">
        <v>42</v>
      </c>
      <c r="E22" s="9"/>
      <c r="F22" s="9"/>
      <c r="G22" s="5"/>
      <c r="H22" s="5"/>
      <c r="I22" s="5"/>
      <c r="J22" s="5"/>
      <c r="K22" s="5"/>
      <c r="L22" s="5"/>
      <c r="M22" s="5"/>
      <c r="N22" s="1"/>
    </row>
    <row r="23" spans="2:14" ht="31.5" x14ac:dyDescent="0.25">
      <c r="B23" s="15" t="s">
        <v>30</v>
      </c>
      <c r="C23" s="21">
        <v>80</v>
      </c>
      <c r="D23" s="20">
        <f>C53</f>
        <v>16.121599999999997</v>
      </c>
      <c r="E23" s="9"/>
      <c r="F23" s="9"/>
      <c r="G23" s="5"/>
      <c r="H23" s="5"/>
      <c r="I23" s="5"/>
      <c r="J23" s="5"/>
      <c r="K23" s="5"/>
      <c r="L23" s="5"/>
      <c r="M23" s="5"/>
      <c r="N23" s="1"/>
    </row>
    <row r="24" spans="2:14" ht="31.5" x14ac:dyDescent="0.25">
      <c r="B24" s="3"/>
      <c r="C24" s="3"/>
      <c r="D24" s="15" t="s">
        <v>44</v>
      </c>
      <c r="E24" s="3"/>
      <c r="F24" s="3"/>
      <c r="G24" s="5"/>
      <c r="H24" s="5"/>
      <c r="I24" s="5"/>
      <c r="J24" s="5"/>
      <c r="K24" s="5"/>
      <c r="L24" s="5"/>
      <c r="M24" s="5"/>
      <c r="N24" s="1"/>
    </row>
    <row r="25" spans="2:14" ht="31.5" x14ac:dyDescent="0.25">
      <c r="B25" s="15" t="s">
        <v>43</v>
      </c>
      <c r="C25" s="21">
        <v>70</v>
      </c>
      <c r="D25" s="20">
        <f>D16-((C25*D36)/100)</f>
        <v>20.151999999999994</v>
      </c>
      <c r="E25" s="3"/>
      <c r="F25" s="3"/>
      <c r="G25" s="5"/>
      <c r="H25" s="5"/>
      <c r="I25" s="5"/>
      <c r="J25" s="5"/>
      <c r="K25" s="5"/>
      <c r="L25" s="5"/>
      <c r="M25" s="5"/>
      <c r="N25" s="1"/>
    </row>
    <row r="26" spans="2:14" x14ac:dyDescent="0.25">
      <c r="B26" s="3"/>
      <c r="C26" s="3"/>
      <c r="D26" s="3"/>
      <c r="E26" s="3"/>
      <c r="F26" s="3"/>
      <c r="G26" s="5"/>
      <c r="H26" s="5"/>
      <c r="I26" s="5"/>
      <c r="J26" s="5"/>
      <c r="K26" s="5"/>
      <c r="L26" s="5"/>
      <c r="M26" s="5"/>
      <c r="N26" s="1"/>
    </row>
    <row r="27" spans="2:14" x14ac:dyDescent="0.25">
      <c r="B27" s="17" t="s">
        <v>29</v>
      </c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1"/>
    </row>
    <row r="28" spans="2:14" x14ac:dyDescent="0.25">
      <c r="B28" s="3"/>
      <c r="C28" s="3"/>
      <c r="D28" s="3"/>
      <c r="E28" s="3"/>
      <c r="F28" s="3"/>
      <c r="G28" s="5"/>
      <c r="H28" s="5"/>
      <c r="I28" s="5"/>
      <c r="J28" s="5"/>
      <c r="K28" s="5"/>
      <c r="L28" s="5"/>
      <c r="M28" s="5"/>
      <c r="N28" s="1"/>
    </row>
    <row r="29" spans="2:14" x14ac:dyDescent="0.25">
      <c r="B29" s="25" t="s">
        <v>28</v>
      </c>
      <c r="C29" s="25">
        <v>13.2</v>
      </c>
      <c r="D29" s="25"/>
      <c r="E29" s="26" t="s">
        <v>27</v>
      </c>
      <c r="F29" s="26"/>
      <c r="G29" s="26"/>
      <c r="H29" s="26"/>
      <c r="I29" s="26"/>
      <c r="J29" s="5"/>
      <c r="K29" s="5"/>
      <c r="L29" s="5"/>
      <c r="M29" s="5"/>
      <c r="N29" s="1"/>
    </row>
    <row r="30" spans="2:14" x14ac:dyDescent="0.25">
      <c r="B30" s="25" t="s">
        <v>60</v>
      </c>
      <c r="C30" s="25">
        <v>9</v>
      </c>
      <c r="D30" s="25">
        <v>24.4</v>
      </c>
      <c r="E30" s="26" t="s">
        <v>26</v>
      </c>
      <c r="F30" s="26"/>
      <c r="G30" s="26"/>
      <c r="H30" s="26"/>
      <c r="I30" s="26"/>
      <c r="J30" s="5"/>
      <c r="K30" s="5"/>
      <c r="L30" s="5"/>
      <c r="M30" s="5"/>
      <c r="N30" s="1"/>
    </row>
    <row r="31" spans="2:14" x14ac:dyDescent="0.25">
      <c r="B31" s="25" t="s">
        <v>25</v>
      </c>
      <c r="C31" s="25">
        <f>C30/1000</f>
        <v>8.9999999999999993E-3</v>
      </c>
      <c r="D31" s="27">
        <f>D30/1000</f>
        <v>2.4399999999999998E-2</v>
      </c>
      <c r="E31" s="26" t="s">
        <v>24</v>
      </c>
      <c r="F31" s="26"/>
      <c r="G31" s="26"/>
      <c r="H31" s="26"/>
      <c r="I31" s="26"/>
      <c r="J31" s="5"/>
      <c r="K31" s="5"/>
      <c r="L31" s="5"/>
      <c r="M31" s="5"/>
      <c r="N31" s="1"/>
    </row>
    <row r="32" spans="2:14" x14ac:dyDescent="0.25">
      <c r="B32" s="14" t="s">
        <v>23</v>
      </c>
      <c r="C32" s="14">
        <f>C39*D31*10</f>
        <v>24.4</v>
      </c>
      <c r="D32" s="14">
        <f>D10</f>
        <v>45.8</v>
      </c>
      <c r="E32" s="10" t="s">
        <v>22</v>
      </c>
      <c r="F32" s="10"/>
      <c r="G32" s="11"/>
      <c r="H32" s="11"/>
      <c r="I32" s="6"/>
      <c r="J32" s="6"/>
      <c r="K32" s="6"/>
      <c r="L32" s="6"/>
      <c r="M32" s="6"/>
      <c r="N32" s="1"/>
    </row>
    <row r="33" spans="2:14" x14ac:dyDescent="0.25">
      <c r="B33" s="25" t="s">
        <v>21</v>
      </c>
      <c r="C33" s="25">
        <v>5472</v>
      </c>
      <c r="D33" s="25"/>
      <c r="E33" s="26" t="s">
        <v>20</v>
      </c>
      <c r="F33" s="26"/>
      <c r="G33" s="28"/>
      <c r="H33" s="12"/>
      <c r="I33" s="7"/>
      <c r="J33" s="7"/>
      <c r="K33" s="7"/>
      <c r="L33" s="7"/>
      <c r="M33" s="7"/>
      <c r="N33" s="1"/>
    </row>
    <row r="34" spans="2:14" x14ac:dyDescent="0.25">
      <c r="B34" s="25" t="s">
        <v>19</v>
      </c>
      <c r="C34" s="25">
        <v>3648</v>
      </c>
      <c r="D34" s="25"/>
      <c r="E34" s="26" t="s">
        <v>18</v>
      </c>
      <c r="F34" s="26"/>
      <c r="G34" s="26"/>
      <c r="H34" s="10"/>
      <c r="I34" s="5"/>
      <c r="J34" s="5"/>
      <c r="K34" s="5"/>
      <c r="L34" s="8"/>
      <c r="M34" s="5"/>
      <c r="N34" s="1"/>
    </row>
    <row r="35" spans="2:14" x14ac:dyDescent="0.25">
      <c r="B35" s="14" t="s">
        <v>17</v>
      </c>
      <c r="C35" s="14">
        <f>(C29*C32*100)/(C30*C33)</f>
        <v>0.65399610136452246</v>
      </c>
      <c r="D35" s="14">
        <f>(C29*D32*100)/(C30*C33)</f>
        <v>1.2275828460038984</v>
      </c>
      <c r="E35" s="10" t="s">
        <v>16</v>
      </c>
      <c r="F35" s="10"/>
      <c r="G35" s="10"/>
      <c r="H35" s="10"/>
      <c r="I35" s="5"/>
      <c r="J35" s="5"/>
      <c r="K35" s="5"/>
      <c r="L35" s="5"/>
      <c r="M35" s="5"/>
      <c r="N35" s="1"/>
    </row>
    <row r="36" spans="2:14" x14ac:dyDescent="0.25">
      <c r="B36" s="14" t="s">
        <v>15</v>
      </c>
      <c r="C36" s="14">
        <f>(C35*C33)/100</f>
        <v>35.786666666666669</v>
      </c>
      <c r="D36" s="14">
        <f>(D35*C33)/100</f>
        <v>67.173333333333318</v>
      </c>
      <c r="E36" s="10" t="s">
        <v>14</v>
      </c>
      <c r="F36" s="10"/>
      <c r="G36" s="10"/>
      <c r="H36" s="10"/>
      <c r="I36" s="5"/>
      <c r="J36" s="5"/>
      <c r="K36" s="5"/>
      <c r="L36" s="5"/>
      <c r="M36" s="5"/>
      <c r="N36" s="1"/>
    </row>
    <row r="37" spans="2:14" x14ac:dyDescent="0.25">
      <c r="B37" s="14" t="s">
        <v>41</v>
      </c>
      <c r="C37" s="14">
        <f>(C35*C34)/100</f>
        <v>23.857777777777777</v>
      </c>
      <c r="D37" s="14">
        <f>(D35*C34)/100</f>
        <v>44.782222222222217</v>
      </c>
      <c r="E37" s="10" t="s">
        <v>13</v>
      </c>
      <c r="F37" s="10"/>
      <c r="G37" s="10"/>
      <c r="H37" s="10"/>
      <c r="I37" s="5"/>
      <c r="J37" s="5"/>
      <c r="K37" s="5"/>
      <c r="L37" s="5"/>
      <c r="M37" s="5"/>
      <c r="N37" s="1"/>
    </row>
    <row r="38" spans="2:14" x14ac:dyDescent="0.25">
      <c r="B38" s="14" t="s">
        <v>12</v>
      </c>
      <c r="C38" s="14">
        <f>C36*C37</f>
        <v>853.79034074074082</v>
      </c>
      <c r="D38" s="14">
        <f>D36*D37</f>
        <v>3008.1711407407397</v>
      </c>
      <c r="E38" s="10" t="s">
        <v>11</v>
      </c>
      <c r="F38" s="10"/>
      <c r="G38" s="10"/>
      <c r="H38" s="10"/>
      <c r="I38" s="5"/>
      <c r="J38" s="5"/>
      <c r="K38" s="5"/>
      <c r="L38" s="5"/>
      <c r="M38" s="5"/>
      <c r="N38" s="1"/>
    </row>
    <row r="39" spans="2:14" x14ac:dyDescent="0.25">
      <c r="B39" s="14" t="s">
        <v>10</v>
      </c>
      <c r="C39" s="14">
        <f>C7</f>
        <v>100</v>
      </c>
      <c r="D39" s="14">
        <f>(1/(D31/D32))/10</f>
        <v>187.70491803278691</v>
      </c>
      <c r="E39" s="10"/>
      <c r="F39" s="10"/>
      <c r="G39" s="10"/>
      <c r="H39" s="10"/>
      <c r="I39" s="5"/>
      <c r="J39" s="5"/>
      <c r="K39" s="5"/>
      <c r="L39" s="5"/>
      <c r="M39" s="5"/>
      <c r="N39" s="1"/>
    </row>
    <row r="40" spans="2:14" x14ac:dyDescent="0.25">
      <c r="B40" s="14"/>
      <c r="C40" s="14"/>
      <c r="D40" s="14">
        <v>160000</v>
      </c>
      <c r="E40" s="10"/>
      <c r="F40" s="10"/>
      <c r="G40" s="10"/>
      <c r="H40" s="10"/>
      <c r="I40" s="5"/>
      <c r="J40" s="5"/>
      <c r="K40" s="5"/>
      <c r="L40" s="5"/>
      <c r="M40" s="5"/>
      <c r="N40" s="1"/>
    </row>
    <row r="41" spans="2:14" x14ac:dyDescent="0.25">
      <c r="B41" s="14" t="s">
        <v>9</v>
      </c>
      <c r="C41" s="14">
        <v>3000</v>
      </c>
      <c r="D41" s="14"/>
      <c r="E41" s="10"/>
      <c r="F41" s="10"/>
      <c r="G41" s="10"/>
      <c r="H41" s="10"/>
      <c r="I41" s="5"/>
      <c r="J41" s="5"/>
      <c r="K41" s="5"/>
      <c r="L41" s="5"/>
      <c r="M41" s="5"/>
      <c r="N41" s="1"/>
    </row>
    <row r="42" spans="2:14" x14ac:dyDescent="0.25">
      <c r="B42" s="14" t="s">
        <v>8</v>
      </c>
      <c r="C42" s="14">
        <f>C41/C37</f>
        <v>125.7451564828614</v>
      </c>
      <c r="D42" s="14">
        <f>C41/D38</f>
        <v>0.99728368488412278</v>
      </c>
      <c r="E42" s="10"/>
      <c r="F42" s="10"/>
      <c r="G42" s="10"/>
      <c r="H42" s="10"/>
      <c r="I42" s="5"/>
      <c r="J42" s="5"/>
      <c r="K42" s="5"/>
      <c r="L42" s="5"/>
      <c r="M42" s="5"/>
      <c r="N42" s="1"/>
    </row>
    <row r="43" spans="2:14" x14ac:dyDescent="0.25">
      <c r="B43" s="14"/>
      <c r="C43" s="14"/>
      <c r="D43" s="14"/>
      <c r="E43" s="10"/>
      <c r="F43" s="10"/>
      <c r="G43" s="10"/>
      <c r="H43" s="10"/>
      <c r="I43" s="5"/>
      <c r="J43" s="5"/>
      <c r="K43" s="5"/>
      <c r="L43" s="5"/>
      <c r="M43" s="5"/>
      <c r="N43" s="1"/>
    </row>
    <row r="44" spans="2:14" x14ac:dyDescent="0.25">
      <c r="B44" s="14"/>
      <c r="C44" s="14"/>
      <c r="D44" s="14"/>
      <c r="E44" s="10"/>
      <c r="F44" s="10"/>
      <c r="G44" s="10"/>
      <c r="H44" s="10"/>
      <c r="I44" s="5"/>
      <c r="J44" s="5"/>
      <c r="K44" s="5"/>
      <c r="L44" s="5"/>
      <c r="M44" s="5"/>
      <c r="N44" s="1"/>
    </row>
    <row r="45" spans="2:14" x14ac:dyDescent="0.25">
      <c r="B45" s="14" t="s">
        <v>1</v>
      </c>
      <c r="C45" s="14">
        <v>15</v>
      </c>
      <c r="D45" s="14" t="s">
        <v>0</v>
      </c>
      <c r="E45" s="10"/>
      <c r="F45" s="10"/>
      <c r="G45" s="10"/>
      <c r="H45" s="10"/>
      <c r="I45" s="5"/>
      <c r="J45" s="5"/>
      <c r="K45" s="5"/>
      <c r="L45" s="5"/>
      <c r="M45" s="5"/>
      <c r="N45" s="1"/>
    </row>
    <row r="46" spans="2:14" x14ac:dyDescent="0.25">
      <c r="B46" s="14" t="s">
        <v>3</v>
      </c>
      <c r="C46" s="14">
        <v>2</v>
      </c>
      <c r="D46" s="14" t="s">
        <v>2</v>
      </c>
      <c r="E46" s="10"/>
      <c r="F46" s="10"/>
      <c r="G46" s="10"/>
      <c r="H46" s="10"/>
      <c r="I46" s="5"/>
      <c r="J46" s="5"/>
      <c r="K46" s="5"/>
      <c r="L46" s="5"/>
      <c r="M46" s="5"/>
      <c r="N46" s="1"/>
    </row>
    <row r="47" spans="2:14" x14ac:dyDescent="0.25">
      <c r="B47" s="14" t="s">
        <v>5</v>
      </c>
      <c r="C47" s="14">
        <f>((C45*1000)*C46)/3600</f>
        <v>8.3333333333333339</v>
      </c>
      <c r="D47" s="14" t="s">
        <v>4</v>
      </c>
      <c r="E47" s="10"/>
      <c r="F47" s="10"/>
      <c r="G47" s="10"/>
      <c r="H47" s="10"/>
      <c r="I47" s="5"/>
      <c r="J47" s="5"/>
      <c r="K47" s="5"/>
      <c r="L47" s="5"/>
      <c r="M47" s="5"/>
      <c r="N47" s="1"/>
    </row>
    <row r="48" spans="2:14" x14ac:dyDescent="0.25">
      <c r="B48" s="14" t="s">
        <v>7</v>
      </c>
      <c r="C48" s="14">
        <f>100-(100*C47)/D37</f>
        <v>81.391425168717745</v>
      </c>
      <c r="D48" s="14" t="s">
        <v>6</v>
      </c>
      <c r="E48" s="10"/>
      <c r="F48" s="10"/>
      <c r="G48" s="10"/>
      <c r="H48" s="10"/>
      <c r="I48" s="5"/>
      <c r="J48" s="5"/>
      <c r="K48" s="5"/>
      <c r="L48" s="5"/>
      <c r="M48" s="5"/>
      <c r="N48" s="1"/>
    </row>
    <row r="49" spans="2:14" x14ac:dyDescent="0.25">
      <c r="B49" s="14"/>
      <c r="C49" s="14"/>
      <c r="D49" s="14"/>
      <c r="E49" s="10"/>
      <c r="F49" s="10"/>
      <c r="G49" s="10"/>
      <c r="H49" s="10"/>
      <c r="I49" s="5"/>
      <c r="J49" s="5"/>
      <c r="K49" s="5"/>
      <c r="L49" s="5"/>
      <c r="M49" s="5"/>
      <c r="N49" s="1"/>
    </row>
    <row r="50" spans="2:14" x14ac:dyDescent="0.25">
      <c r="B50" s="14" t="s">
        <v>7</v>
      </c>
      <c r="C50" s="14">
        <f>C23</f>
        <v>80</v>
      </c>
      <c r="D50" s="14" t="s">
        <v>6</v>
      </c>
      <c r="E50" s="10"/>
      <c r="F50" s="10"/>
      <c r="G50" s="10"/>
      <c r="H50" s="10"/>
      <c r="I50" s="5"/>
      <c r="J50" s="5"/>
      <c r="K50" s="5"/>
      <c r="L50" s="5"/>
      <c r="M50" s="5"/>
      <c r="N50" s="1"/>
    </row>
    <row r="51" spans="2:14" x14ac:dyDescent="0.25">
      <c r="B51" s="14" t="s">
        <v>5</v>
      </c>
      <c r="C51" s="14">
        <f>D37-(D37*C50)/100</f>
        <v>8.9564444444444433</v>
      </c>
      <c r="D51" s="14" t="s">
        <v>4</v>
      </c>
      <c r="E51" s="10"/>
      <c r="F51" s="10"/>
      <c r="G51" s="10"/>
      <c r="H51" s="10"/>
      <c r="I51" s="5"/>
      <c r="J51" s="5"/>
      <c r="K51" s="5"/>
      <c r="L51" s="5"/>
      <c r="M51" s="5"/>
      <c r="N51" s="1"/>
    </row>
    <row r="52" spans="2:14" x14ac:dyDescent="0.25">
      <c r="B52" s="14" t="s">
        <v>3</v>
      </c>
      <c r="C52" s="14">
        <v>2</v>
      </c>
      <c r="D52" s="14" t="s">
        <v>2</v>
      </c>
      <c r="E52" s="10"/>
      <c r="F52" s="10"/>
      <c r="G52" s="10"/>
      <c r="H52" s="10"/>
      <c r="I52" s="5"/>
      <c r="J52" s="5"/>
      <c r="K52" s="5"/>
      <c r="L52" s="5"/>
      <c r="M52" s="5"/>
      <c r="N52" s="1"/>
    </row>
    <row r="53" spans="2:14" x14ac:dyDescent="0.25">
      <c r="B53" s="14" t="s">
        <v>1</v>
      </c>
      <c r="C53" s="14">
        <f>((C51*3600)/C52)/1000</f>
        <v>16.121599999999997</v>
      </c>
      <c r="D53" s="14" t="s">
        <v>0</v>
      </c>
      <c r="E53" s="10"/>
      <c r="F53" s="10"/>
      <c r="G53" s="10"/>
      <c r="H53" s="10"/>
      <c r="I53" s="5"/>
      <c r="J53" s="5"/>
      <c r="K53" s="5"/>
      <c r="L53" s="5"/>
      <c r="M53" s="5"/>
      <c r="N53" s="1"/>
    </row>
    <row r="54" spans="2:14" x14ac:dyDescent="0.25">
      <c r="N54" s="1"/>
    </row>
    <row r="55" spans="2:14" x14ac:dyDescent="0.25">
      <c r="N55" s="1"/>
    </row>
    <row r="56" spans="2:14" x14ac:dyDescent="0.25">
      <c r="N56" s="1"/>
    </row>
    <row r="57" spans="2:14" x14ac:dyDescent="0.25">
      <c r="N57" s="1"/>
    </row>
    <row r="58" spans="2:14" x14ac:dyDescent="0.25">
      <c r="N58" s="1"/>
    </row>
    <row r="59" spans="2:14" x14ac:dyDescent="0.25">
      <c r="N59" s="1"/>
    </row>
    <row r="60" spans="2:14" x14ac:dyDescent="0.25">
      <c r="N60" s="1"/>
    </row>
    <row r="61" spans="2:14" x14ac:dyDescent="0.25">
      <c r="N61" s="1"/>
    </row>
    <row r="62" spans="2:14" x14ac:dyDescent="0.25">
      <c r="N62" s="1"/>
    </row>
    <row r="63" spans="2:14" x14ac:dyDescent="0.25">
      <c r="N63" s="1"/>
    </row>
  </sheetData>
  <mergeCells count="2">
    <mergeCell ref="A1:N4"/>
    <mergeCell ref="B12:D12"/>
  </mergeCells>
  <hyperlinks>
    <hyperlink ref="E35" r:id="rId1" display="= Ground Sampling Distance (centimeters/pixel)" xr:uid="{00000000-0004-0000-0000-000000000000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workbookViewId="0">
      <selection activeCell="D11" sqref="D11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0.42578125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20.25" x14ac:dyDescent="0.25">
      <c r="B6" s="13"/>
      <c r="C6" s="19"/>
      <c r="D6" s="15" t="s">
        <v>36</v>
      </c>
      <c r="E6" s="9"/>
      <c r="F6" s="9"/>
      <c r="G6" s="5"/>
      <c r="H6" s="5"/>
      <c r="I6" s="5"/>
      <c r="J6" s="5"/>
      <c r="K6" s="5"/>
      <c r="L6" s="5"/>
      <c r="M6" s="5"/>
      <c r="N6" s="1"/>
      <c r="P6" s="15" t="s">
        <v>45</v>
      </c>
    </row>
    <row r="7" spans="1:16" ht="31.5" x14ac:dyDescent="0.25">
      <c r="B7" s="15" t="s">
        <v>35</v>
      </c>
      <c r="C7" s="21">
        <v>40</v>
      </c>
      <c r="D7" s="22">
        <f>15*P9/3.4*10</f>
        <v>22.058823529411768</v>
      </c>
      <c r="E7" s="9"/>
      <c r="F7" s="9"/>
      <c r="G7" s="5"/>
      <c r="H7" s="5"/>
      <c r="I7" s="5"/>
      <c r="J7" s="5"/>
      <c r="K7" s="5"/>
      <c r="L7" s="5"/>
      <c r="M7" s="5"/>
      <c r="N7" s="1"/>
      <c r="P7" s="22">
        <f>0.025*C7</f>
        <v>1</v>
      </c>
    </row>
    <row r="8" spans="1:16" ht="31.5" x14ac:dyDescent="0.25">
      <c r="B8" s="13"/>
      <c r="C8" s="19"/>
      <c r="D8" s="13"/>
      <c r="E8" s="9"/>
      <c r="F8" s="9"/>
      <c r="G8" s="5"/>
      <c r="H8" s="5"/>
      <c r="I8" s="5"/>
      <c r="J8" s="5"/>
      <c r="K8" s="5"/>
      <c r="L8" s="5"/>
      <c r="M8" s="5"/>
      <c r="N8" s="1"/>
      <c r="P8" s="15" t="s">
        <v>46</v>
      </c>
    </row>
    <row r="9" spans="1:16" ht="31.5" x14ac:dyDescent="0.25">
      <c r="B9" s="13"/>
      <c r="C9" s="15" t="s">
        <v>38</v>
      </c>
      <c r="D9" s="13"/>
      <c r="E9" s="9"/>
      <c r="F9" s="9"/>
      <c r="G9" s="5"/>
      <c r="H9" s="5"/>
      <c r="I9" s="5"/>
      <c r="J9" s="5"/>
      <c r="K9" s="5"/>
      <c r="L9" s="5"/>
      <c r="M9" s="5"/>
      <c r="N9" s="1"/>
      <c r="P9" s="22">
        <f>P7/2</f>
        <v>0.5</v>
      </c>
    </row>
    <row r="10" spans="1:16" ht="21" x14ac:dyDescent="0.25">
      <c r="B10" s="15" t="s">
        <v>37</v>
      </c>
      <c r="C10" s="20">
        <f>D14*2/0.025</f>
        <v>38.619191919191927</v>
      </c>
      <c r="D10" s="23">
        <v>22.1</v>
      </c>
      <c r="E10" s="9"/>
      <c r="F10" s="9"/>
      <c r="G10" s="5"/>
      <c r="H10" s="5"/>
      <c r="I10" s="5"/>
      <c r="J10" s="5"/>
      <c r="K10" s="5"/>
      <c r="L10" s="5"/>
      <c r="M10" s="5"/>
      <c r="N10" s="1"/>
    </row>
    <row r="11" spans="1:16" ht="15.75" x14ac:dyDescent="0.25">
      <c r="B11" s="13"/>
      <c r="C11" s="13"/>
      <c r="D11" s="13"/>
      <c r="E11" s="9"/>
      <c r="F11" s="9"/>
      <c r="G11" s="5"/>
      <c r="H11" s="5"/>
      <c r="I11" s="5"/>
      <c r="J11" s="5"/>
      <c r="K11" s="5"/>
      <c r="L11" s="5"/>
      <c r="M11" s="5"/>
      <c r="N11" s="1"/>
    </row>
    <row r="12" spans="1:16" ht="22.5" x14ac:dyDescent="0.25">
      <c r="B12" s="37" t="s">
        <v>34</v>
      </c>
      <c r="C12" s="37"/>
      <c r="D12" s="37"/>
      <c r="E12" s="9"/>
      <c r="F12" s="9"/>
      <c r="G12" s="5"/>
      <c r="H12" s="5"/>
      <c r="I12" s="5"/>
      <c r="J12" s="5"/>
      <c r="K12" s="5"/>
      <c r="L12" s="5"/>
      <c r="M12" s="5"/>
      <c r="N12" s="1"/>
    </row>
    <row r="13" spans="1:16" ht="31.5" x14ac:dyDescent="0.25">
      <c r="B13" s="13"/>
      <c r="C13" s="13"/>
      <c r="D13" s="19"/>
      <c r="E13" s="9"/>
      <c r="F13" s="9"/>
      <c r="G13" s="5"/>
      <c r="H13" s="5"/>
      <c r="I13" s="5"/>
      <c r="J13" s="5"/>
      <c r="K13" s="5"/>
      <c r="L13" s="5"/>
      <c r="M13" s="5"/>
      <c r="N13" s="1"/>
      <c r="P13" s="15" t="s">
        <v>47</v>
      </c>
    </row>
    <row r="14" spans="1:16" ht="47.25" x14ac:dyDescent="0.25">
      <c r="B14" s="16" t="s">
        <v>33</v>
      </c>
      <c r="C14" s="18">
        <f>C35</f>
        <v>0.26212121212121214</v>
      </c>
      <c r="D14" s="18">
        <f>D35</f>
        <v>0.48273989898989911</v>
      </c>
      <c r="E14" s="9"/>
      <c r="F14" s="9"/>
      <c r="G14" s="5"/>
      <c r="H14" s="5"/>
      <c r="I14" s="5"/>
      <c r="J14" s="5"/>
      <c r="K14" s="5"/>
      <c r="L14" s="5"/>
      <c r="M14" s="5"/>
      <c r="N14" s="1"/>
      <c r="P14" s="20">
        <f>(D14*3)/0.025</f>
        <v>57.928787878787894</v>
      </c>
    </row>
    <row r="15" spans="1:16" ht="20.25" x14ac:dyDescent="0.25">
      <c r="B15" s="13"/>
      <c r="C15" s="19"/>
      <c r="D15" s="19"/>
      <c r="E15" s="9"/>
      <c r="F15" s="9"/>
      <c r="G15" s="5"/>
      <c r="H15" s="5"/>
      <c r="I15" s="5"/>
      <c r="J15" s="5"/>
      <c r="K15" s="5"/>
      <c r="L15" s="5"/>
      <c r="M15" s="5"/>
      <c r="N15" s="1"/>
    </row>
    <row r="16" spans="1:16" ht="31.5" x14ac:dyDescent="0.25">
      <c r="B16" s="16" t="s">
        <v>32</v>
      </c>
      <c r="C16" s="20">
        <f>C36</f>
        <v>13.840000000000002</v>
      </c>
      <c r="D16" s="20">
        <f>D36</f>
        <v>25.488666666666674</v>
      </c>
      <c r="E16" s="9"/>
      <c r="F16" s="9"/>
      <c r="G16" s="5"/>
      <c r="H16" s="5"/>
      <c r="I16" s="5"/>
      <c r="J16" s="5"/>
      <c r="K16" s="5"/>
      <c r="L16" s="5"/>
      <c r="M16" s="5"/>
      <c r="N16" s="1"/>
    </row>
    <row r="17" spans="2:14" ht="20.25" x14ac:dyDescent="0.25">
      <c r="B17" s="13"/>
      <c r="C17" s="19"/>
      <c r="D17" s="19"/>
      <c r="E17" s="9"/>
      <c r="F17" s="9"/>
      <c r="G17" s="5"/>
      <c r="H17" s="5"/>
      <c r="I17" s="5"/>
      <c r="J17" s="5"/>
      <c r="K17" s="5"/>
      <c r="L17" s="5"/>
      <c r="M17" s="5"/>
      <c r="N17" s="1"/>
    </row>
    <row r="18" spans="2:14" ht="31.5" x14ac:dyDescent="0.25">
      <c r="B18" s="16" t="s">
        <v>31</v>
      </c>
      <c r="C18" s="20">
        <f>C37</f>
        <v>10.369515151515152</v>
      </c>
      <c r="D18" s="20">
        <f>D37</f>
        <v>19.097190404040408</v>
      </c>
      <c r="E18" s="9"/>
      <c r="F18" s="9"/>
      <c r="G18" s="5"/>
      <c r="H18" s="5"/>
      <c r="I18" s="5"/>
      <c r="J18" s="5"/>
      <c r="K18" s="5"/>
      <c r="L18" s="5"/>
      <c r="M18" s="5"/>
      <c r="N18" s="1"/>
    </row>
    <row r="19" spans="2:14" ht="20.25" x14ac:dyDescent="0.25">
      <c r="B19" s="13"/>
      <c r="C19" s="19"/>
      <c r="D19" s="19"/>
      <c r="E19" s="9"/>
      <c r="F19" s="9"/>
      <c r="G19" s="5"/>
      <c r="H19" s="5"/>
      <c r="I19" s="5"/>
      <c r="J19" s="5"/>
      <c r="K19" s="5"/>
      <c r="L19" s="5"/>
      <c r="M19" s="5"/>
      <c r="N19" s="1"/>
    </row>
    <row r="20" spans="2:14" ht="33.75" x14ac:dyDescent="0.25">
      <c r="B20" s="16" t="s">
        <v>40</v>
      </c>
      <c r="C20" s="20">
        <f>C38</f>
        <v>143.51408969696973</v>
      </c>
      <c r="D20" s="20">
        <f>D38</f>
        <v>486.76192047845143</v>
      </c>
      <c r="E20" s="9"/>
      <c r="F20" s="9"/>
      <c r="G20" s="5"/>
      <c r="H20" s="5"/>
      <c r="I20" s="5"/>
      <c r="J20" s="5"/>
      <c r="K20" s="5"/>
      <c r="L20" s="5"/>
      <c r="M20" s="5"/>
      <c r="N20" s="1"/>
    </row>
    <row r="21" spans="2:14" ht="20.25" x14ac:dyDescent="0.25">
      <c r="B21" s="13"/>
      <c r="C21" s="19"/>
      <c r="D21" s="13"/>
      <c r="E21" s="9"/>
      <c r="F21" s="9"/>
      <c r="G21" s="5"/>
      <c r="H21" s="5"/>
      <c r="I21" s="5"/>
      <c r="J21" s="5"/>
      <c r="K21" s="5"/>
      <c r="L21" s="5"/>
      <c r="M21" s="5"/>
      <c r="N21" s="1"/>
    </row>
    <row r="22" spans="2:14" ht="20.25" x14ac:dyDescent="0.25">
      <c r="B22" s="13"/>
      <c r="C22" s="19"/>
      <c r="D22" s="15" t="s">
        <v>42</v>
      </c>
      <c r="E22" s="9"/>
      <c r="F22" s="9"/>
      <c r="G22" s="5"/>
      <c r="H22" s="5"/>
      <c r="I22" s="5"/>
      <c r="J22" s="5"/>
      <c r="K22" s="5"/>
      <c r="L22" s="5"/>
      <c r="M22" s="5"/>
      <c r="N22" s="1"/>
    </row>
    <row r="23" spans="2:14" ht="31.5" x14ac:dyDescent="0.25">
      <c r="B23" s="15" t="s">
        <v>30</v>
      </c>
      <c r="C23" s="21">
        <v>80</v>
      </c>
      <c r="D23" s="20">
        <f>C53</f>
        <v>6.8749885454545474</v>
      </c>
      <c r="E23" s="9"/>
      <c r="F23" s="9"/>
      <c r="G23" s="5"/>
      <c r="H23" s="5"/>
      <c r="I23" s="5"/>
      <c r="J23" s="5"/>
      <c r="K23" s="5"/>
      <c r="L23" s="5"/>
      <c r="M23" s="5"/>
      <c r="N23" s="1"/>
    </row>
    <row r="24" spans="2:14" ht="31.5" x14ac:dyDescent="0.25">
      <c r="B24" s="3"/>
      <c r="C24" s="3"/>
      <c r="D24" s="15" t="s">
        <v>44</v>
      </c>
      <c r="E24" s="3"/>
      <c r="F24" s="3"/>
      <c r="G24" s="5"/>
      <c r="H24" s="5"/>
      <c r="I24" s="5"/>
      <c r="J24" s="5"/>
      <c r="K24" s="5"/>
      <c r="L24" s="5"/>
      <c r="M24" s="5"/>
      <c r="N24" s="1"/>
    </row>
    <row r="25" spans="2:14" ht="31.5" x14ac:dyDescent="0.25">
      <c r="B25" s="15" t="s">
        <v>43</v>
      </c>
      <c r="C25" s="21">
        <v>70</v>
      </c>
      <c r="D25" s="20">
        <f>D16-((C25*D36)/100)</f>
        <v>7.646600000000003</v>
      </c>
      <c r="E25" s="3"/>
      <c r="F25" s="3"/>
      <c r="G25" s="5"/>
      <c r="H25" s="5"/>
      <c r="I25" s="5"/>
      <c r="J25" s="5"/>
      <c r="K25" s="5"/>
      <c r="L25" s="5"/>
      <c r="M25" s="5"/>
      <c r="N25" s="1"/>
    </row>
    <row r="26" spans="2:14" x14ac:dyDescent="0.25">
      <c r="B26" s="3"/>
      <c r="C26" s="3"/>
      <c r="D26" s="3"/>
      <c r="E26" s="3"/>
      <c r="F26" s="3"/>
      <c r="G26" s="5"/>
      <c r="H26" s="5"/>
      <c r="I26" s="5"/>
      <c r="J26" s="5"/>
      <c r="K26" s="5"/>
      <c r="L26" s="5"/>
      <c r="M26" s="5"/>
      <c r="N26" s="1"/>
    </row>
    <row r="27" spans="2:14" x14ac:dyDescent="0.25">
      <c r="B27" s="17" t="s">
        <v>29</v>
      </c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1"/>
    </row>
    <row r="28" spans="2:14" x14ac:dyDescent="0.25">
      <c r="B28" s="3"/>
      <c r="C28" s="3"/>
      <c r="D28" s="3"/>
      <c r="E28" s="3"/>
      <c r="F28" s="3"/>
      <c r="G28" s="5"/>
      <c r="H28" s="5"/>
      <c r="I28" s="5"/>
      <c r="J28" s="5"/>
      <c r="K28" s="5"/>
      <c r="L28" s="5"/>
      <c r="M28" s="5"/>
      <c r="N28" s="1"/>
    </row>
    <row r="29" spans="2:14" x14ac:dyDescent="0.25">
      <c r="B29" s="25" t="s">
        <v>28</v>
      </c>
      <c r="C29" s="25">
        <v>17.3</v>
      </c>
      <c r="D29" s="25" t="s">
        <v>49</v>
      </c>
      <c r="E29" s="26" t="s">
        <v>27</v>
      </c>
      <c r="F29" s="26"/>
      <c r="G29" s="26"/>
      <c r="H29" s="26"/>
      <c r="I29" s="26"/>
      <c r="J29" s="5"/>
      <c r="K29" s="5"/>
      <c r="L29" s="5"/>
      <c r="M29" s="5"/>
      <c r="N29" s="1"/>
    </row>
    <row r="30" spans="2:14" x14ac:dyDescent="0.25">
      <c r="B30" s="25" t="s">
        <v>60</v>
      </c>
      <c r="C30" s="25">
        <v>15</v>
      </c>
      <c r="D30" s="25">
        <v>30</v>
      </c>
      <c r="E30" s="26" t="s">
        <v>26</v>
      </c>
      <c r="F30" s="26"/>
      <c r="G30" s="26"/>
      <c r="H30" s="26"/>
      <c r="I30" s="26"/>
      <c r="J30" s="5"/>
      <c r="K30" s="5"/>
      <c r="L30" s="5"/>
      <c r="M30" s="5"/>
      <c r="N30" s="1"/>
    </row>
    <row r="31" spans="2:14" x14ac:dyDescent="0.25">
      <c r="B31" s="25" t="s">
        <v>25</v>
      </c>
      <c r="C31" s="25">
        <f>C30/1000</f>
        <v>1.4999999999999999E-2</v>
      </c>
      <c r="D31" s="25">
        <f>D30/1000</f>
        <v>0.03</v>
      </c>
      <c r="E31" s="26" t="s">
        <v>24</v>
      </c>
      <c r="F31" s="26"/>
      <c r="G31" s="26"/>
      <c r="H31" s="26"/>
      <c r="I31" s="26"/>
      <c r="J31" s="5"/>
      <c r="K31" s="5"/>
      <c r="L31" s="5"/>
      <c r="M31" s="5"/>
      <c r="N31" s="1"/>
    </row>
    <row r="32" spans="2:14" x14ac:dyDescent="0.25">
      <c r="B32" s="14" t="s">
        <v>23</v>
      </c>
      <c r="C32" s="14">
        <f>C39*D31*10</f>
        <v>12</v>
      </c>
      <c r="D32" s="14">
        <f>D10</f>
        <v>22.1</v>
      </c>
      <c r="E32" s="10" t="s">
        <v>22</v>
      </c>
      <c r="F32" s="10"/>
      <c r="G32" s="11"/>
      <c r="H32" s="11"/>
      <c r="J32" s="6"/>
      <c r="K32" s="6"/>
      <c r="L32" s="6"/>
      <c r="M32" s="6"/>
      <c r="N32" s="1"/>
    </row>
    <row r="33" spans="2:14" x14ac:dyDescent="0.25">
      <c r="B33" s="25" t="s">
        <v>21</v>
      </c>
      <c r="C33" s="25">
        <v>5280</v>
      </c>
      <c r="D33" s="25"/>
      <c r="E33" s="26" t="s">
        <v>20</v>
      </c>
      <c r="F33" s="26"/>
      <c r="G33" s="28"/>
      <c r="H33" s="29"/>
      <c r="I33" s="6" t="s">
        <v>48</v>
      </c>
      <c r="J33" s="7"/>
      <c r="K33" s="7"/>
      <c r="L33" s="7"/>
      <c r="M33" s="7"/>
      <c r="N33" s="1"/>
    </row>
    <row r="34" spans="2:14" x14ac:dyDescent="0.25">
      <c r="B34" s="25" t="s">
        <v>19</v>
      </c>
      <c r="C34" s="25">
        <v>3956</v>
      </c>
      <c r="D34" s="25"/>
      <c r="E34" s="26" t="s">
        <v>18</v>
      </c>
      <c r="F34" s="26"/>
      <c r="G34" s="26"/>
      <c r="H34" s="26"/>
      <c r="I34" s="5" t="s">
        <v>48</v>
      </c>
      <c r="J34" s="5"/>
      <c r="K34" s="5"/>
      <c r="L34" s="8"/>
      <c r="M34" s="5"/>
      <c r="N34" s="1"/>
    </row>
    <row r="35" spans="2:14" x14ac:dyDescent="0.25">
      <c r="B35" s="14" t="s">
        <v>17</v>
      </c>
      <c r="C35" s="14">
        <f>(C29*C32*100)/(C30*C33)</f>
        <v>0.26212121212121214</v>
      </c>
      <c r="D35" s="14">
        <f>(C29*D32*100)/(C30*C33)</f>
        <v>0.48273989898989911</v>
      </c>
      <c r="E35" s="10" t="s">
        <v>16</v>
      </c>
      <c r="F35" s="10"/>
      <c r="G35" s="10"/>
      <c r="H35" s="10"/>
      <c r="I35" s="5"/>
      <c r="J35" s="5"/>
      <c r="K35" s="5"/>
      <c r="L35" s="5"/>
      <c r="M35" s="5"/>
      <c r="N35" s="1"/>
    </row>
    <row r="36" spans="2:14" x14ac:dyDescent="0.25">
      <c r="B36" s="14" t="s">
        <v>15</v>
      </c>
      <c r="C36" s="14">
        <f>(C35*C33)/100</f>
        <v>13.840000000000002</v>
      </c>
      <c r="D36" s="14">
        <f>(D35*C33)/100</f>
        <v>25.488666666666674</v>
      </c>
      <c r="E36" s="10" t="s">
        <v>14</v>
      </c>
      <c r="F36" s="10"/>
      <c r="G36" s="10"/>
      <c r="H36" s="10"/>
      <c r="I36" s="5"/>
      <c r="J36" s="5"/>
      <c r="K36" s="5"/>
      <c r="L36" s="5"/>
      <c r="M36" s="5"/>
      <c r="N36" s="1"/>
    </row>
    <row r="37" spans="2:14" x14ac:dyDescent="0.25">
      <c r="B37" s="14" t="s">
        <v>41</v>
      </c>
      <c r="C37" s="14">
        <f>(C35*C34)/100</f>
        <v>10.369515151515152</v>
      </c>
      <c r="D37" s="14">
        <f>(D35*C34)/100</f>
        <v>19.097190404040408</v>
      </c>
      <c r="E37" s="10" t="s">
        <v>13</v>
      </c>
      <c r="F37" s="10"/>
      <c r="G37" s="10"/>
      <c r="H37" s="10"/>
      <c r="I37" s="5"/>
      <c r="J37" s="5"/>
      <c r="K37" s="5"/>
      <c r="L37" s="5"/>
      <c r="M37" s="5"/>
      <c r="N37" s="1"/>
    </row>
    <row r="38" spans="2:14" x14ac:dyDescent="0.25">
      <c r="B38" s="14" t="s">
        <v>12</v>
      </c>
      <c r="C38" s="14">
        <f>C36*C37</f>
        <v>143.51408969696973</v>
      </c>
      <c r="D38" s="14">
        <f>D36*D37</f>
        <v>486.76192047845143</v>
      </c>
      <c r="E38" s="10" t="s">
        <v>11</v>
      </c>
      <c r="F38" s="10"/>
      <c r="G38" s="10"/>
      <c r="H38" s="10"/>
      <c r="I38" s="5"/>
      <c r="J38" s="5"/>
      <c r="K38" s="5"/>
      <c r="L38" s="5"/>
      <c r="M38" s="5"/>
      <c r="N38" s="1"/>
    </row>
    <row r="39" spans="2:14" x14ac:dyDescent="0.25">
      <c r="B39" s="14" t="s">
        <v>10</v>
      </c>
      <c r="C39" s="14">
        <f>C7</f>
        <v>40</v>
      </c>
      <c r="D39" s="14">
        <f>(1/(D31/D32))/10</f>
        <v>73.666666666666671</v>
      </c>
      <c r="E39" s="10"/>
      <c r="F39" s="10"/>
      <c r="G39" s="10"/>
      <c r="H39" s="10"/>
      <c r="I39" s="5"/>
      <c r="J39" s="5"/>
      <c r="K39" s="5"/>
      <c r="L39" s="5"/>
      <c r="M39" s="5"/>
      <c r="N39" s="1"/>
    </row>
    <row r="40" spans="2:14" x14ac:dyDescent="0.25">
      <c r="B40" s="14"/>
      <c r="C40" s="14"/>
      <c r="D40" s="14">
        <v>160000</v>
      </c>
      <c r="E40" s="10"/>
      <c r="F40" s="10"/>
      <c r="G40" s="10"/>
      <c r="H40" s="10"/>
      <c r="I40" s="5"/>
      <c r="J40" s="5"/>
      <c r="K40" s="5"/>
      <c r="L40" s="5"/>
      <c r="M40" s="5"/>
      <c r="N40" s="1"/>
    </row>
    <row r="41" spans="2:14" x14ac:dyDescent="0.25">
      <c r="B41" s="14" t="s">
        <v>9</v>
      </c>
      <c r="C41" s="14">
        <v>3000</v>
      </c>
      <c r="D41" s="14"/>
      <c r="E41" s="10"/>
      <c r="F41" s="10"/>
      <c r="G41" s="10"/>
      <c r="H41" s="10"/>
      <c r="I41" s="5"/>
      <c r="J41" s="5"/>
      <c r="K41" s="5"/>
      <c r="L41" s="5"/>
      <c r="M41" s="5"/>
      <c r="N41" s="1"/>
    </row>
    <row r="42" spans="2:14" x14ac:dyDescent="0.25">
      <c r="B42" s="14" t="s">
        <v>8</v>
      </c>
      <c r="C42" s="14">
        <f>C41/C37</f>
        <v>289.30957293231324</v>
      </c>
      <c r="D42" s="14">
        <f>C41/D38</f>
        <v>6.163177261383181</v>
      </c>
      <c r="E42" s="10"/>
      <c r="F42" s="10"/>
      <c r="G42" s="10"/>
      <c r="H42" s="10"/>
      <c r="I42" s="5"/>
      <c r="J42" s="5"/>
      <c r="K42" s="5"/>
      <c r="L42" s="5"/>
      <c r="M42" s="5"/>
      <c r="N42" s="1"/>
    </row>
    <row r="43" spans="2:14" x14ac:dyDescent="0.25">
      <c r="B43" s="14"/>
      <c r="C43" s="14"/>
      <c r="D43" s="14"/>
      <c r="E43" s="10"/>
      <c r="F43" s="10"/>
      <c r="G43" s="10"/>
      <c r="H43" s="10"/>
      <c r="I43" s="5"/>
      <c r="J43" s="5"/>
      <c r="K43" s="5"/>
      <c r="L43" s="5"/>
      <c r="M43" s="5"/>
      <c r="N43" s="1"/>
    </row>
    <row r="44" spans="2:14" x14ac:dyDescent="0.25">
      <c r="B44" s="14"/>
      <c r="C44" s="14"/>
      <c r="D44" s="14"/>
      <c r="E44" s="10"/>
      <c r="F44" s="10"/>
      <c r="G44" s="10"/>
      <c r="H44" s="10"/>
      <c r="I44" s="5"/>
      <c r="J44" s="5"/>
      <c r="K44" s="5"/>
      <c r="L44" s="5"/>
      <c r="M44" s="5"/>
      <c r="N44" s="1"/>
    </row>
    <row r="45" spans="2:14" x14ac:dyDescent="0.25">
      <c r="B45" s="14" t="s">
        <v>1</v>
      </c>
      <c r="C45" s="14">
        <v>15</v>
      </c>
      <c r="D45" s="14" t="s">
        <v>0</v>
      </c>
      <c r="E45" s="10"/>
      <c r="F45" s="10"/>
      <c r="G45" s="10"/>
      <c r="H45" s="10"/>
      <c r="I45" s="5"/>
      <c r="J45" s="5"/>
      <c r="K45" s="5"/>
      <c r="L45" s="5"/>
      <c r="M45" s="5"/>
      <c r="N45" s="1"/>
    </row>
    <row r="46" spans="2:14" x14ac:dyDescent="0.25">
      <c r="B46" s="14" t="s">
        <v>3</v>
      </c>
      <c r="C46" s="14">
        <v>2</v>
      </c>
      <c r="D46" s="14" t="s">
        <v>2</v>
      </c>
      <c r="E46" s="10"/>
      <c r="F46" s="10"/>
      <c r="G46" s="10"/>
      <c r="H46" s="10"/>
      <c r="I46" s="5"/>
      <c r="J46" s="5"/>
      <c r="K46" s="5"/>
      <c r="L46" s="5"/>
      <c r="M46" s="5"/>
      <c r="N46" s="1"/>
    </row>
    <row r="47" spans="2:14" x14ac:dyDescent="0.25">
      <c r="B47" s="14" t="s">
        <v>5</v>
      </c>
      <c r="C47" s="14">
        <f>((C45*1000)*C46)/3600</f>
        <v>8.3333333333333339</v>
      </c>
      <c r="D47" s="14" t="s">
        <v>4</v>
      </c>
      <c r="E47" s="10"/>
      <c r="F47" s="10"/>
      <c r="G47" s="10"/>
      <c r="H47" s="10"/>
      <c r="I47" s="5"/>
      <c r="J47" s="5"/>
      <c r="K47" s="5"/>
      <c r="L47" s="5"/>
      <c r="M47" s="5"/>
      <c r="N47" s="1"/>
    </row>
    <row r="48" spans="2:14" x14ac:dyDescent="0.25">
      <c r="B48" s="14" t="s">
        <v>7</v>
      </c>
      <c r="C48" s="14">
        <f>100-(100*C47)/D37</f>
        <v>56.363563660284584</v>
      </c>
      <c r="D48" s="14" t="s">
        <v>6</v>
      </c>
      <c r="E48" s="10"/>
      <c r="F48" s="10"/>
      <c r="G48" s="10"/>
      <c r="H48" s="10"/>
      <c r="I48" s="5"/>
      <c r="J48" s="5"/>
      <c r="K48" s="5"/>
      <c r="L48" s="5"/>
      <c r="M48" s="5"/>
      <c r="N48" s="1"/>
    </row>
    <row r="49" spans="2:14" x14ac:dyDescent="0.25">
      <c r="B49" s="14"/>
      <c r="C49" s="14"/>
      <c r="D49" s="14"/>
      <c r="E49" s="10"/>
      <c r="F49" s="10"/>
      <c r="G49" s="10"/>
      <c r="H49" s="10"/>
      <c r="I49" s="5"/>
      <c r="J49" s="5"/>
      <c r="K49" s="5"/>
      <c r="L49" s="5"/>
      <c r="M49" s="5"/>
      <c r="N49" s="1"/>
    </row>
    <row r="50" spans="2:14" x14ac:dyDescent="0.25">
      <c r="B50" s="14" t="s">
        <v>7</v>
      </c>
      <c r="C50" s="14">
        <f>C23</f>
        <v>80</v>
      </c>
      <c r="D50" s="14" t="s">
        <v>6</v>
      </c>
      <c r="E50" s="10"/>
      <c r="F50" s="10"/>
      <c r="G50" s="10"/>
      <c r="H50" s="10"/>
      <c r="I50" s="5"/>
      <c r="J50" s="5"/>
      <c r="K50" s="5"/>
      <c r="L50" s="5"/>
      <c r="M50" s="5"/>
      <c r="N50" s="1"/>
    </row>
    <row r="51" spans="2:14" x14ac:dyDescent="0.25">
      <c r="B51" s="14" t="s">
        <v>5</v>
      </c>
      <c r="C51" s="14">
        <f>D37-(D37*C50)/100</f>
        <v>3.8194380808080819</v>
      </c>
      <c r="D51" s="14" t="s">
        <v>4</v>
      </c>
      <c r="E51" s="10"/>
      <c r="F51" s="10"/>
      <c r="G51" s="10"/>
      <c r="H51" s="10"/>
      <c r="I51" s="5"/>
      <c r="J51" s="5"/>
      <c r="K51" s="5"/>
      <c r="L51" s="5"/>
      <c r="M51" s="5"/>
      <c r="N51" s="1"/>
    </row>
    <row r="52" spans="2:14" x14ac:dyDescent="0.25">
      <c r="B52" s="14" t="s">
        <v>3</v>
      </c>
      <c r="C52" s="14">
        <v>2</v>
      </c>
      <c r="D52" s="14" t="s">
        <v>2</v>
      </c>
      <c r="E52" s="10"/>
      <c r="F52" s="10"/>
      <c r="G52" s="10"/>
      <c r="H52" s="10"/>
      <c r="I52" s="5"/>
      <c r="J52" s="5"/>
      <c r="K52" s="5"/>
      <c r="L52" s="5"/>
      <c r="M52" s="5"/>
      <c r="N52" s="1"/>
    </row>
    <row r="53" spans="2:14" x14ac:dyDescent="0.25">
      <c r="B53" s="14" t="s">
        <v>1</v>
      </c>
      <c r="C53" s="14">
        <f>((C51*3600)/C52)/1000</f>
        <v>6.8749885454545474</v>
      </c>
      <c r="D53" s="14" t="s">
        <v>0</v>
      </c>
      <c r="E53" s="10"/>
      <c r="F53" s="10"/>
      <c r="G53" s="10"/>
      <c r="H53" s="10"/>
      <c r="I53" s="5"/>
      <c r="J53" s="5"/>
      <c r="K53" s="5"/>
      <c r="L53" s="5"/>
      <c r="M53" s="5"/>
      <c r="N53" s="1"/>
    </row>
  </sheetData>
  <mergeCells count="2">
    <mergeCell ref="A1:N4"/>
    <mergeCell ref="B12:D12"/>
  </mergeCells>
  <hyperlinks>
    <hyperlink ref="E35" r:id="rId1" display="= Ground Sampling Distance (centimeters/pixel)" xr:uid="{00000000-0004-0000-01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3"/>
  <sheetViews>
    <sheetView zoomScale="80" zoomScaleNormal="80" workbookViewId="0">
      <selection activeCell="C10" sqref="C10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0.42578125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20.25" x14ac:dyDescent="0.25">
      <c r="B6" s="13"/>
      <c r="C6" s="19"/>
      <c r="D6" s="15" t="s">
        <v>36</v>
      </c>
      <c r="E6" s="9"/>
      <c r="F6" s="9"/>
      <c r="G6" s="5"/>
      <c r="H6" s="5"/>
      <c r="I6" s="5"/>
      <c r="J6" s="5"/>
      <c r="K6" s="5"/>
      <c r="L6" s="5"/>
      <c r="M6" s="5"/>
      <c r="N6" s="1"/>
      <c r="P6" s="15" t="s">
        <v>45</v>
      </c>
    </row>
    <row r="7" spans="1:16" ht="31.5" x14ac:dyDescent="0.25">
      <c r="B7" s="15" t="s">
        <v>35</v>
      </c>
      <c r="C7" s="21">
        <v>40</v>
      </c>
      <c r="D7" s="22">
        <f>25*P9/3.4*10</f>
        <v>36.764705882352942</v>
      </c>
      <c r="E7" s="9"/>
      <c r="F7" s="9"/>
      <c r="G7" s="5"/>
      <c r="H7" s="5"/>
      <c r="I7" s="5"/>
      <c r="J7" s="5"/>
      <c r="K7" s="5"/>
      <c r="L7" s="5"/>
      <c r="M7" s="5"/>
      <c r="N7" s="1"/>
      <c r="P7" s="22">
        <f>0.025*C7</f>
        <v>1</v>
      </c>
    </row>
    <row r="8" spans="1:16" ht="31.5" x14ac:dyDescent="0.25">
      <c r="B8" s="13"/>
      <c r="C8" s="19"/>
      <c r="D8" s="13"/>
      <c r="E8" s="9"/>
      <c r="F8" s="9"/>
      <c r="G8" s="5"/>
      <c r="H8" s="5"/>
      <c r="I8" s="5"/>
      <c r="J8" s="5"/>
      <c r="K8" s="5"/>
      <c r="L8" s="5"/>
      <c r="M8" s="5"/>
      <c r="N8" s="1"/>
      <c r="P8" s="15" t="s">
        <v>46</v>
      </c>
    </row>
    <row r="9" spans="1:16" ht="31.5" x14ac:dyDescent="0.25">
      <c r="B9" s="13"/>
      <c r="C9" s="15" t="s">
        <v>38</v>
      </c>
      <c r="D9" s="13"/>
      <c r="E9" s="9"/>
      <c r="F9" s="9"/>
      <c r="G9" s="5"/>
      <c r="H9" s="5"/>
      <c r="I9" s="5"/>
      <c r="J9" s="5"/>
      <c r="K9" s="5"/>
      <c r="L9" s="5"/>
      <c r="M9" s="5"/>
      <c r="N9" s="1"/>
      <c r="P9" s="22">
        <f>P7/2</f>
        <v>0.5</v>
      </c>
    </row>
    <row r="10" spans="1:16" ht="21" x14ac:dyDescent="0.25">
      <c r="B10" s="15" t="s">
        <v>37</v>
      </c>
      <c r="C10" s="20">
        <f>D14*2/0.025</f>
        <v>38.584242424242419</v>
      </c>
      <c r="D10" s="23">
        <v>36.799999999999997</v>
      </c>
      <c r="E10" s="9"/>
      <c r="F10" s="9"/>
      <c r="G10" s="5"/>
      <c r="H10" s="5"/>
      <c r="I10" s="5"/>
      <c r="J10" s="5"/>
      <c r="K10" s="5"/>
      <c r="L10" s="5"/>
      <c r="M10" s="5"/>
      <c r="N10" s="1"/>
    </row>
    <row r="11" spans="1:16" ht="15.75" x14ac:dyDescent="0.25">
      <c r="B11" s="13"/>
      <c r="C11" s="13"/>
      <c r="D11" s="13"/>
      <c r="E11" s="9"/>
      <c r="F11" s="9"/>
      <c r="G11" s="5"/>
      <c r="H11" s="5"/>
      <c r="I11" s="5"/>
      <c r="J11" s="5"/>
      <c r="K11" s="5"/>
      <c r="L11" s="5"/>
      <c r="M11" s="5"/>
      <c r="N11" s="1"/>
    </row>
    <row r="12" spans="1:16" ht="22.5" x14ac:dyDescent="0.25">
      <c r="B12" s="37" t="s">
        <v>34</v>
      </c>
      <c r="C12" s="37"/>
      <c r="D12" s="37"/>
      <c r="E12" s="9"/>
      <c r="F12" s="9"/>
      <c r="G12" s="5"/>
      <c r="H12" s="5"/>
      <c r="I12" s="5"/>
      <c r="J12" s="5"/>
      <c r="K12" s="5"/>
      <c r="L12" s="5"/>
      <c r="M12" s="5"/>
      <c r="N12" s="1"/>
    </row>
    <row r="13" spans="1:16" ht="31.5" x14ac:dyDescent="0.25">
      <c r="B13" s="13"/>
      <c r="C13" s="13"/>
      <c r="D13" s="19"/>
      <c r="E13" s="9"/>
      <c r="F13" s="9"/>
      <c r="G13" s="5"/>
      <c r="H13" s="5"/>
      <c r="I13" s="5"/>
      <c r="J13" s="5"/>
      <c r="K13" s="5"/>
      <c r="L13" s="5"/>
      <c r="M13" s="5"/>
      <c r="N13" s="1"/>
      <c r="P13" s="15" t="s">
        <v>47</v>
      </c>
    </row>
    <row r="14" spans="1:16" ht="47.25" x14ac:dyDescent="0.25">
      <c r="B14" s="16" t="s">
        <v>33</v>
      </c>
      <c r="C14" s="18">
        <f>C35</f>
        <v>0.26212121212121214</v>
      </c>
      <c r="D14" s="18">
        <f>D35</f>
        <v>0.48230303030303029</v>
      </c>
      <c r="E14" s="9"/>
      <c r="F14" s="9"/>
      <c r="G14" s="5"/>
      <c r="H14" s="5"/>
      <c r="I14" s="5"/>
      <c r="J14" s="5"/>
      <c r="K14" s="5"/>
      <c r="L14" s="5"/>
      <c r="M14" s="5"/>
      <c r="N14" s="1"/>
      <c r="P14" s="20">
        <f>(D14*3)/0.025</f>
        <v>57.876363636363635</v>
      </c>
    </row>
    <row r="15" spans="1:16" ht="20.25" x14ac:dyDescent="0.25">
      <c r="B15" s="13"/>
      <c r="C15" s="19"/>
      <c r="D15" s="19"/>
      <c r="E15" s="9"/>
      <c r="F15" s="9"/>
      <c r="G15" s="5"/>
      <c r="H15" s="5"/>
      <c r="I15" s="5"/>
      <c r="J15" s="5"/>
      <c r="K15" s="5"/>
      <c r="L15" s="5"/>
      <c r="M15" s="5"/>
      <c r="N15" s="1"/>
    </row>
    <row r="16" spans="1:16" ht="31.5" x14ac:dyDescent="0.25">
      <c r="B16" s="16" t="s">
        <v>32</v>
      </c>
      <c r="C16" s="20">
        <f>C36</f>
        <v>13.840000000000002</v>
      </c>
      <c r="D16" s="20">
        <f>D36</f>
        <v>25.465599999999998</v>
      </c>
      <c r="E16" s="9"/>
      <c r="F16" s="9"/>
      <c r="G16" s="5"/>
      <c r="H16" s="5"/>
      <c r="I16" s="5"/>
      <c r="J16" s="5"/>
      <c r="K16" s="5"/>
      <c r="L16" s="5"/>
      <c r="M16" s="5"/>
      <c r="N16" s="1"/>
    </row>
    <row r="17" spans="2:14" ht="20.25" x14ac:dyDescent="0.25">
      <c r="B17" s="13"/>
      <c r="C17" s="19"/>
      <c r="D17" s="19"/>
      <c r="E17" s="9"/>
      <c r="F17" s="9"/>
      <c r="G17" s="5"/>
      <c r="H17" s="5"/>
      <c r="I17" s="5"/>
      <c r="J17" s="5"/>
      <c r="K17" s="5"/>
      <c r="L17" s="5"/>
      <c r="M17" s="5"/>
      <c r="N17" s="1"/>
    </row>
    <row r="18" spans="2:14" ht="31.5" x14ac:dyDescent="0.25">
      <c r="B18" s="16" t="s">
        <v>31</v>
      </c>
      <c r="C18" s="20">
        <f>C37</f>
        <v>10.369515151515152</v>
      </c>
      <c r="D18" s="20">
        <f>D37</f>
        <v>19.079907878787878</v>
      </c>
      <c r="E18" s="9"/>
      <c r="F18" s="9"/>
      <c r="G18" s="5"/>
      <c r="H18" s="5"/>
      <c r="I18" s="5"/>
      <c r="J18" s="5"/>
      <c r="K18" s="5"/>
      <c r="L18" s="5"/>
      <c r="M18" s="5"/>
      <c r="N18" s="1"/>
    </row>
    <row r="19" spans="2:14" ht="20.25" x14ac:dyDescent="0.25">
      <c r="B19" s="13"/>
      <c r="C19" s="19"/>
      <c r="D19" s="19"/>
      <c r="E19" s="9"/>
      <c r="F19" s="9"/>
      <c r="G19" s="5"/>
      <c r="H19" s="5"/>
      <c r="I19" s="5"/>
      <c r="J19" s="5"/>
      <c r="K19" s="5"/>
      <c r="L19" s="5"/>
      <c r="M19" s="5"/>
      <c r="N19" s="1"/>
    </row>
    <row r="20" spans="2:14" ht="33.75" x14ac:dyDescent="0.25">
      <c r="B20" s="16" t="s">
        <v>40</v>
      </c>
      <c r="C20" s="20">
        <f>C38</f>
        <v>143.51408969696973</v>
      </c>
      <c r="D20" s="20">
        <f>D38</f>
        <v>485.88130207806057</v>
      </c>
      <c r="E20" s="9"/>
      <c r="F20" s="9"/>
      <c r="G20" s="5"/>
      <c r="H20" s="5"/>
      <c r="I20" s="5"/>
      <c r="J20" s="5"/>
      <c r="K20" s="5"/>
      <c r="L20" s="5"/>
      <c r="M20" s="5"/>
      <c r="N20" s="1"/>
    </row>
    <row r="21" spans="2:14" ht="20.25" x14ac:dyDescent="0.25">
      <c r="B21" s="13"/>
      <c r="C21" s="19"/>
      <c r="D21" s="13"/>
      <c r="E21" s="9"/>
      <c r="F21" s="9"/>
      <c r="G21" s="5"/>
      <c r="H21" s="5"/>
      <c r="I21" s="5"/>
      <c r="J21" s="5"/>
      <c r="K21" s="5"/>
      <c r="L21" s="5"/>
      <c r="M21" s="5"/>
      <c r="N21" s="1"/>
    </row>
    <row r="22" spans="2:14" ht="20.25" x14ac:dyDescent="0.25">
      <c r="B22" s="13"/>
      <c r="C22" s="19"/>
      <c r="D22" s="15" t="s">
        <v>42</v>
      </c>
      <c r="E22" s="9"/>
      <c r="F22" s="9"/>
      <c r="G22" s="5"/>
      <c r="H22" s="5"/>
      <c r="I22" s="5"/>
      <c r="J22" s="5"/>
      <c r="K22" s="5"/>
      <c r="L22" s="5"/>
      <c r="M22" s="5"/>
      <c r="N22" s="1"/>
    </row>
    <row r="23" spans="2:14" ht="31.5" x14ac:dyDescent="0.25">
      <c r="B23" s="15" t="s">
        <v>30</v>
      </c>
      <c r="C23" s="21">
        <v>80</v>
      </c>
      <c r="D23" s="20">
        <f>C53</f>
        <v>6.8687668363636369</v>
      </c>
      <c r="E23" s="9"/>
      <c r="F23" s="9"/>
      <c r="G23" s="5"/>
      <c r="H23" s="5"/>
      <c r="I23" s="5"/>
      <c r="J23" s="5"/>
      <c r="K23" s="5"/>
      <c r="L23" s="5"/>
      <c r="M23" s="5"/>
      <c r="N23" s="1"/>
    </row>
    <row r="24" spans="2:14" ht="31.5" x14ac:dyDescent="0.25">
      <c r="B24" s="3"/>
      <c r="C24" s="3"/>
      <c r="D24" s="15" t="s">
        <v>44</v>
      </c>
      <c r="E24" s="3"/>
      <c r="F24" s="3"/>
      <c r="G24" s="5"/>
      <c r="H24" s="5"/>
      <c r="I24" s="5"/>
      <c r="J24" s="5"/>
      <c r="K24" s="5"/>
      <c r="L24" s="5"/>
      <c r="M24" s="5"/>
      <c r="N24" s="1"/>
    </row>
    <row r="25" spans="2:14" ht="31.5" x14ac:dyDescent="0.25">
      <c r="B25" s="15" t="s">
        <v>43</v>
      </c>
      <c r="C25" s="21">
        <v>50</v>
      </c>
      <c r="D25" s="20">
        <f>D16-((C25*D36)/100)</f>
        <v>12.732799999999999</v>
      </c>
      <c r="E25" s="3"/>
      <c r="F25" s="3"/>
      <c r="G25" s="5"/>
      <c r="H25" s="5"/>
      <c r="I25" s="5"/>
      <c r="J25" s="5"/>
      <c r="K25" s="5"/>
      <c r="L25" s="5"/>
      <c r="M25" s="5"/>
      <c r="N25" s="1"/>
    </row>
    <row r="26" spans="2:14" x14ac:dyDescent="0.25">
      <c r="B26" s="3"/>
      <c r="C26" s="3"/>
      <c r="D26" s="3"/>
      <c r="E26" s="3"/>
      <c r="F26" s="3"/>
      <c r="G26" s="5"/>
      <c r="H26" s="5"/>
      <c r="I26" s="5"/>
      <c r="J26" s="5"/>
      <c r="K26" s="5"/>
      <c r="L26" s="5"/>
      <c r="M26" s="5"/>
      <c r="N26" s="1"/>
    </row>
    <row r="27" spans="2:14" x14ac:dyDescent="0.25">
      <c r="B27" s="17" t="s">
        <v>29</v>
      </c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1"/>
    </row>
    <row r="28" spans="2:14" x14ac:dyDescent="0.25">
      <c r="B28" s="3"/>
      <c r="C28" s="3"/>
      <c r="D28" s="3"/>
      <c r="E28" s="3"/>
      <c r="F28" s="3"/>
      <c r="G28" s="5"/>
      <c r="H28" s="5"/>
      <c r="I28" s="5"/>
      <c r="J28" s="5"/>
      <c r="K28" s="5"/>
      <c r="L28" s="5"/>
      <c r="M28" s="5"/>
      <c r="N28" s="1"/>
    </row>
    <row r="29" spans="2:14" x14ac:dyDescent="0.25">
      <c r="B29" s="25" t="s">
        <v>28</v>
      </c>
      <c r="C29" s="25">
        <v>17.3</v>
      </c>
      <c r="D29" s="25" t="s">
        <v>49</v>
      </c>
      <c r="E29" s="26" t="s">
        <v>27</v>
      </c>
      <c r="F29" s="26"/>
      <c r="G29" s="26"/>
      <c r="H29" s="26"/>
      <c r="I29" s="26"/>
      <c r="J29" s="5"/>
      <c r="K29" s="5"/>
      <c r="L29" s="5"/>
      <c r="M29" s="5"/>
      <c r="N29" s="1"/>
    </row>
    <row r="30" spans="2:14" x14ac:dyDescent="0.25">
      <c r="B30" s="25" t="s">
        <v>60</v>
      </c>
      <c r="C30" s="25">
        <v>25</v>
      </c>
      <c r="D30" s="25">
        <v>50</v>
      </c>
      <c r="E30" s="26" t="s">
        <v>26</v>
      </c>
      <c r="F30" s="26"/>
      <c r="G30" s="26"/>
      <c r="H30" s="26"/>
      <c r="I30" s="26"/>
      <c r="J30" s="5"/>
      <c r="K30" s="5"/>
      <c r="L30" s="5"/>
      <c r="M30" s="5"/>
      <c r="N30" s="1"/>
    </row>
    <row r="31" spans="2:14" x14ac:dyDescent="0.25">
      <c r="B31" s="25" t="s">
        <v>25</v>
      </c>
      <c r="C31" s="25">
        <f>C30/1000</f>
        <v>2.5000000000000001E-2</v>
      </c>
      <c r="D31" s="25">
        <f>D30/1000</f>
        <v>0.05</v>
      </c>
      <c r="E31" s="26" t="s">
        <v>24</v>
      </c>
      <c r="F31" s="26"/>
      <c r="G31" s="26"/>
      <c r="H31" s="26"/>
      <c r="I31" s="26"/>
      <c r="J31" s="5"/>
      <c r="K31" s="5"/>
      <c r="L31" s="5"/>
      <c r="M31" s="5"/>
      <c r="N31" s="1"/>
    </row>
    <row r="32" spans="2:14" x14ac:dyDescent="0.25">
      <c r="B32" s="14" t="s">
        <v>23</v>
      </c>
      <c r="C32" s="14">
        <f>C39*D31*10</f>
        <v>20</v>
      </c>
      <c r="D32" s="14">
        <f>D10</f>
        <v>36.799999999999997</v>
      </c>
      <c r="E32" s="10" t="s">
        <v>22</v>
      </c>
      <c r="F32" s="10"/>
      <c r="G32" s="11"/>
      <c r="H32" s="11"/>
      <c r="J32" s="6"/>
      <c r="K32" s="6"/>
      <c r="L32" s="6"/>
      <c r="M32" s="6"/>
      <c r="N32" s="1"/>
    </row>
    <row r="33" spans="2:14" x14ac:dyDescent="0.25">
      <c r="B33" s="25" t="s">
        <v>21</v>
      </c>
      <c r="C33" s="25">
        <v>5280</v>
      </c>
      <c r="D33" s="25"/>
      <c r="E33" s="26" t="s">
        <v>20</v>
      </c>
      <c r="F33" s="26"/>
      <c r="G33" s="28"/>
      <c r="H33" s="12"/>
      <c r="I33" s="6" t="s">
        <v>48</v>
      </c>
      <c r="J33" s="7"/>
      <c r="K33" s="7"/>
      <c r="L33" s="7"/>
      <c r="M33" s="7"/>
      <c r="N33" s="1"/>
    </row>
    <row r="34" spans="2:14" x14ac:dyDescent="0.25">
      <c r="B34" s="25" t="s">
        <v>19</v>
      </c>
      <c r="C34" s="25">
        <v>3956</v>
      </c>
      <c r="D34" s="25"/>
      <c r="E34" s="26" t="s">
        <v>18</v>
      </c>
      <c r="F34" s="26"/>
      <c r="G34" s="26"/>
      <c r="H34" s="10"/>
      <c r="I34" s="5" t="s">
        <v>48</v>
      </c>
      <c r="J34" s="5"/>
      <c r="K34" s="5"/>
      <c r="L34" s="8"/>
      <c r="M34" s="5"/>
      <c r="N34" s="1"/>
    </row>
    <row r="35" spans="2:14" x14ac:dyDescent="0.25">
      <c r="B35" s="14" t="s">
        <v>17</v>
      </c>
      <c r="C35" s="14">
        <f>(C29*C32*100)/(C30*C33)</f>
        <v>0.26212121212121214</v>
      </c>
      <c r="D35" s="14">
        <f>(C29*D32*100)/(C30*C33)</f>
        <v>0.48230303030303029</v>
      </c>
      <c r="E35" s="10" t="s">
        <v>16</v>
      </c>
      <c r="F35" s="10"/>
      <c r="G35" s="10"/>
      <c r="H35" s="10"/>
      <c r="I35" s="5"/>
      <c r="J35" s="5"/>
      <c r="K35" s="5"/>
      <c r="L35" s="5"/>
      <c r="M35" s="5"/>
      <c r="N35" s="1"/>
    </row>
    <row r="36" spans="2:14" x14ac:dyDescent="0.25">
      <c r="B36" s="14" t="s">
        <v>15</v>
      </c>
      <c r="C36" s="14">
        <f>(C35*C33)/100</f>
        <v>13.840000000000002</v>
      </c>
      <c r="D36" s="14">
        <f>(D35*C33)/100</f>
        <v>25.465599999999998</v>
      </c>
      <c r="E36" s="10" t="s">
        <v>14</v>
      </c>
      <c r="F36" s="10"/>
      <c r="G36" s="10"/>
      <c r="H36" s="10"/>
      <c r="I36" s="5"/>
      <c r="J36" s="5"/>
      <c r="K36" s="5"/>
      <c r="L36" s="5"/>
      <c r="M36" s="5"/>
      <c r="N36" s="1"/>
    </row>
    <row r="37" spans="2:14" x14ac:dyDescent="0.25">
      <c r="B37" s="14" t="s">
        <v>41</v>
      </c>
      <c r="C37" s="14">
        <f>(C35*C34)/100</f>
        <v>10.369515151515152</v>
      </c>
      <c r="D37" s="14">
        <f>(D35*C34)/100</f>
        <v>19.079907878787878</v>
      </c>
      <c r="E37" s="10" t="s">
        <v>13</v>
      </c>
      <c r="F37" s="10"/>
      <c r="G37" s="10"/>
      <c r="H37" s="10"/>
      <c r="I37" s="5"/>
      <c r="J37" s="5"/>
      <c r="K37" s="5"/>
      <c r="L37" s="5"/>
      <c r="M37" s="5"/>
      <c r="N37" s="1"/>
    </row>
    <row r="38" spans="2:14" x14ac:dyDescent="0.25">
      <c r="B38" s="14" t="s">
        <v>12</v>
      </c>
      <c r="C38" s="14">
        <f>C36*C37</f>
        <v>143.51408969696973</v>
      </c>
      <c r="D38" s="14">
        <f>D36*D37</f>
        <v>485.88130207806057</v>
      </c>
      <c r="E38" s="10" t="s">
        <v>11</v>
      </c>
      <c r="F38" s="10"/>
      <c r="G38" s="10"/>
      <c r="H38" s="10"/>
      <c r="I38" s="5"/>
      <c r="J38" s="5"/>
      <c r="K38" s="5"/>
      <c r="L38" s="5"/>
      <c r="M38" s="5"/>
      <c r="N38" s="1"/>
    </row>
    <row r="39" spans="2:14" x14ac:dyDescent="0.25">
      <c r="B39" s="14" t="s">
        <v>10</v>
      </c>
      <c r="C39" s="14">
        <f>C7</f>
        <v>40</v>
      </c>
      <c r="D39" s="14">
        <f>(1/(D31/D32))/10</f>
        <v>73.599999999999994</v>
      </c>
      <c r="E39" s="10"/>
      <c r="F39" s="10"/>
      <c r="G39" s="10"/>
      <c r="H39" s="10"/>
      <c r="I39" s="5"/>
      <c r="J39" s="5"/>
      <c r="K39" s="5"/>
      <c r="L39" s="5"/>
      <c r="M39" s="5"/>
      <c r="N39" s="1"/>
    </row>
    <row r="40" spans="2:14" x14ac:dyDescent="0.25">
      <c r="B40" s="14"/>
      <c r="C40" s="14"/>
      <c r="D40" s="14">
        <v>160000</v>
      </c>
      <c r="E40" s="10"/>
      <c r="F40" s="10"/>
      <c r="G40" s="10"/>
      <c r="H40" s="10"/>
      <c r="I40" s="5"/>
      <c r="J40" s="5"/>
      <c r="K40" s="5"/>
      <c r="L40" s="5"/>
      <c r="M40" s="5"/>
      <c r="N40" s="1"/>
    </row>
    <row r="41" spans="2:14" x14ac:dyDescent="0.25">
      <c r="B41" s="14" t="s">
        <v>9</v>
      </c>
      <c r="C41" s="14">
        <v>3000</v>
      </c>
      <c r="D41" s="14"/>
      <c r="E41" s="10"/>
      <c r="F41" s="10"/>
      <c r="G41" s="10"/>
      <c r="H41" s="10"/>
      <c r="I41" s="5"/>
      <c r="J41" s="5"/>
      <c r="K41" s="5"/>
      <c r="L41" s="5"/>
      <c r="M41" s="5"/>
      <c r="N41" s="1"/>
    </row>
    <row r="42" spans="2:14" x14ac:dyDescent="0.25">
      <c r="B42" s="14" t="s">
        <v>8</v>
      </c>
      <c r="C42" s="14">
        <f>C41/C37</f>
        <v>289.30957293231324</v>
      </c>
      <c r="D42" s="14">
        <f>C41/D38</f>
        <v>6.1743474942734613</v>
      </c>
      <c r="E42" s="10"/>
      <c r="F42" s="10"/>
      <c r="G42" s="10"/>
      <c r="H42" s="10"/>
      <c r="I42" s="5"/>
      <c r="J42" s="5"/>
      <c r="K42" s="5"/>
      <c r="L42" s="5"/>
      <c r="M42" s="5"/>
      <c r="N42" s="1"/>
    </row>
    <row r="43" spans="2:14" x14ac:dyDescent="0.25">
      <c r="B43" s="14"/>
      <c r="C43" s="14"/>
      <c r="D43" s="14"/>
      <c r="E43" s="10"/>
      <c r="F43" s="10"/>
      <c r="G43" s="10"/>
      <c r="H43" s="10"/>
      <c r="I43" s="5"/>
      <c r="J43" s="5"/>
      <c r="K43" s="5"/>
      <c r="L43" s="5"/>
      <c r="M43" s="5"/>
      <c r="N43" s="1"/>
    </row>
    <row r="44" spans="2:14" x14ac:dyDescent="0.25">
      <c r="B44" s="14"/>
      <c r="C44" s="14"/>
      <c r="D44" s="14"/>
      <c r="E44" s="10"/>
      <c r="F44" s="10"/>
      <c r="G44" s="10"/>
      <c r="H44" s="10"/>
      <c r="I44" s="5"/>
      <c r="J44" s="5"/>
      <c r="K44" s="5"/>
      <c r="L44" s="5"/>
      <c r="M44" s="5"/>
      <c r="N44" s="1"/>
    </row>
    <row r="45" spans="2:14" x14ac:dyDescent="0.25">
      <c r="B45" s="14" t="s">
        <v>1</v>
      </c>
      <c r="C45" s="14">
        <v>15</v>
      </c>
      <c r="D45" s="14" t="s">
        <v>0</v>
      </c>
      <c r="E45" s="10"/>
      <c r="F45" s="10"/>
      <c r="G45" s="10"/>
      <c r="H45" s="10"/>
      <c r="I45" s="5"/>
      <c r="J45" s="5"/>
      <c r="K45" s="5"/>
      <c r="L45" s="5"/>
      <c r="M45" s="5"/>
      <c r="N45" s="1"/>
    </row>
    <row r="46" spans="2:14" x14ac:dyDescent="0.25">
      <c r="B46" s="14" t="s">
        <v>3</v>
      </c>
      <c r="C46" s="14">
        <v>2</v>
      </c>
      <c r="D46" s="14" t="s">
        <v>2</v>
      </c>
      <c r="E46" s="10"/>
      <c r="F46" s="10"/>
      <c r="G46" s="10"/>
      <c r="H46" s="10"/>
      <c r="I46" s="5"/>
      <c r="J46" s="5"/>
      <c r="K46" s="5"/>
      <c r="L46" s="5"/>
      <c r="M46" s="5"/>
      <c r="N46" s="1"/>
    </row>
    <row r="47" spans="2:14" x14ac:dyDescent="0.25">
      <c r="B47" s="14" t="s">
        <v>5</v>
      </c>
      <c r="C47" s="14">
        <f>((C45*1000)*C46)/3600</f>
        <v>8.3333333333333339</v>
      </c>
      <c r="D47" s="14" t="s">
        <v>4</v>
      </c>
      <c r="E47" s="10"/>
      <c r="F47" s="10"/>
      <c r="G47" s="10"/>
      <c r="H47" s="10"/>
      <c r="I47" s="5"/>
      <c r="J47" s="5"/>
      <c r="K47" s="5"/>
      <c r="L47" s="5"/>
      <c r="M47" s="5"/>
      <c r="N47" s="1"/>
    </row>
    <row r="48" spans="2:14" x14ac:dyDescent="0.25">
      <c r="B48" s="14" t="s">
        <v>7</v>
      </c>
      <c r="C48" s="14">
        <f>100-(100*C47)/D37</f>
        <v>56.324037902730488</v>
      </c>
      <c r="D48" s="14" t="s">
        <v>6</v>
      </c>
      <c r="E48" s="10"/>
      <c r="F48" s="10"/>
      <c r="G48" s="10"/>
      <c r="H48" s="10"/>
      <c r="I48" s="5"/>
      <c r="J48" s="5"/>
      <c r="K48" s="5"/>
      <c r="L48" s="5"/>
      <c r="M48" s="5"/>
      <c r="N48" s="1"/>
    </row>
    <row r="49" spans="2:14" x14ac:dyDescent="0.25">
      <c r="B49" s="14"/>
      <c r="C49" s="14"/>
      <c r="D49" s="14"/>
      <c r="E49" s="10"/>
      <c r="F49" s="10"/>
      <c r="G49" s="10"/>
      <c r="H49" s="10"/>
      <c r="I49" s="5"/>
      <c r="J49" s="5"/>
      <c r="K49" s="5"/>
      <c r="L49" s="5"/>
      <c r="M49" s="5"/>
      <c r="N49" s="1"/>
    </row>
    <row r="50" spans="2:14" x14ac:dyDescent="0.25">
      <c r="B50" s="14" t="s">
        <v>7</v>
      </c>
      <c r="C50" s="14">
        <f>C23</f>
        <v>80</v>
      </c>
      <c r="D50" s="14" t="s">
        <v>6</v>
      </c>
      <c r="E50" s="10"/>
      <c r="F50" s="10"/>
      <c r="G50" s="10"/>
      <c r="H50" s="10"/>
      <c r="I50" s="5"/>
      <c r="J50" s="5"/>
      <c r="K50" s="5"/>
      <c r="L50" s="5"/>
      <c r="M50" s="5"/>
      <c r="N50" s="1"/>
    </row>
    <row r="51" spans="2:14" x14ac:dyDescent="0.25">
      <c r="B51" s="14" t="s">
        <v>5</v>
      </c>
      <c r="C51" s="14">
        <f>D37-(D37*C50)/100</f>
        <v>3.8159815757575757</v>
      </c>
      <c r="D51" s="14" t="s">
        <v>4</v>
      </c>
      <c r="E51" s="10"/>
      <c r="F51" s="10"/>
      <c r="G51" s="10"/>
      <c r="H51" s="10"/>
      <c r="I51" s="5"/>
      <c r="J51" s="5"/>
      <c r="K51" s="5"/>
      <c r="L51" s="5"/>
      <c r="M51" s="5"/>
      <c r="N51" s="1"/>
    </row>
    <row r="52" spans="2:14" x14ac:dyDescent="0.25">
      <c r="B52" s="14" t="s">
        <v>3</v>
      </c>
      <c r="C52" s="14">
        <v>2</v>
      </c>
      <c r="D52" s="14" t="s">
        <v>2</v>
      </c>
      <c r="E52" s="10"/>
      <c r="F52" s="10"/>
      <c r="G52" s="10"/>
      <c r="H52" s="10"/>
      <c r="I52" s="5"/>
      <c r="J52" s="5"/>
      <c r="K52" s="5"/>
      <c r="L52" s="5"/>
      <c r="M52" s="5"/>
      <c r="N52" s="1"/>
    </row>
    <row r="53" spans="2:14" x14ac:dyDescent="0.25">
      <c r="B53" s="14" t="s">
        <v>1</v>
      </c>
      <c r="C53" s="14">
        <f>((C51*3600)/C52)/1000</f>
        <v>6.8687668363636369</v>
      </c>
      <c r="D53" s="14" t="s">
        <v>0</v>
      </c>
      <c r="E53" s="10"/>
      <c r="F53" s="10"/>
      <c r="G53" s="10"/>
      <c r="H53" s="10"/>
      <c r="I53" s="5"/>
      <c r="J53" s="5"/>
      <c r="K53" s="5"/>
      <c r="L53" s="5"/>
      <c r="M53" s="5"/>
      <c r="N53" s="1"/>
    </row>
  </sheetData>
  <mergeCells count="2">
    <mergeCell ref="A1:N4"/>
    <mergeCell ref="B12:D12"/>
  </mergeCells>
  <hyperlinks>
    <hyperlink ref="E35" r:id="rId1" display="= Ground Sampling Distance (centimeters/pixel)" xr:uid="{00000000-0004-0000-02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8847-5ED0-4817-A9CD-A46E498E7BCD}">
  <dimension ref="A1:T53"/>
  <sheetViews>
    <sheetView tabSelected="1" zoomScale="80" zoomScaleNormal="80" workbookViewId="0">
      <selection activeCell="Q11" sqref="Q11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0.42578125" customWidth="1"/>
  </cols>
  <sheetData>
    <row r="1" spans="1:20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0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20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20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20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20" ht="20.25" x14ac:dyDescent="0.25">
      <c r="B6" s="13"/>
      <c r="C6" s="19"/>
      <c r="D6" s="15" t="s">
        <v>36</v>
      </c>
      <c r="E6" s="9"/>
      <c r="F6" s="9"/>
      <c r="G6" s="5"/>
      <c r="H6" s="5"/>
      <c r="I6" s="5"/>
      <c r="J6" s="5"/>
      <c r="K6" s="5"/>
      <c r="L6" s="5"/>
      <c r="M6" s="5"/>
      <c r="N6" s="1"/>
      <c r="P6" s="15" t="s">
        <v>45</v>
      </c>
    </row>
    <row r="7" spans="1:20" ht="31.5" x14ac:dyDescent="0.25">
      <c r="B7" s="15" t="s">
        <v>35</v>
      </c>
      <c r="C7" s="21">
        <v>5000</v>
      </c>
      <c r="D7" s="22">
        <f>35*P9/4.4*10</f>
        <v>4971.590909090909</v>
      </c>
      <c r="E7" s="9"/>
      <c r="F7" s="9"/>
      <c r="G7" s="5"/>
      <c r="H7" s="5"/>
      <c r="I7" s="5"/>
      <c r="J7" s="5"/>
      <c r="K7" s="5"/>
      <c r="L7" s="5"/>
      <c r="M7" s="5"/>
      <c r="N7" s="1"/>
      <c r="P7" s="22">
        <f>0.025*C7</f>
        <v>125</v>
      </c>
      <c r="R7">
        <f>4.4/1.3</f>
        <v>3.3846153846153846</v>
      </c>
      <c r="S7">
        <f>1</f>
        <v>1</v>
      </c>
      <c r="T7">
        <f>4.4/1.26</f>
        <v>3.4920634920634925</v>
      </c>
    </row>
    <row r="8" spans="1:20" ht="31.5" x14ac:dyDescent="0.25">
      <c r="B8" s="13"/>
      <c r="C8" s="19"/>
      <c r="D8" s="13"/>
      <c r="E8" s="9"/>
      <c r="F8" s="9"/>
      <c r="G8" s="5"/>
      <c r="H8" s="5"/>
      <c r="I8" s="5"/>
      <c r="J8" s="5"/>
      <c r="K8" s="5"/>
      <c r="L8" s="5"/>
      <c r="M8" s="5"/>
      <c r="N8" s="1"/>
      <c r="P8" s="15" t="s">
        <v>46</v>
      </c>
      <c r="S8">
        <f>1.26/0.00044</f>
        <v>2863.6363636363635</v>
      </c>
      <c r="T8">
        <f>0.00044/1.26</f>
        <v>3.4920634920634924E-4</v>
      </c>
    </row>
    <row r="9" spans="1:20" ht="31.5" x14ac:dyDescent="0.25">
      <c r="B9" s="13"/>
      <c r="C9" s="15" t="s">
        <v>38</v>
      </c>
      <c r="D9" s="13"/>
      <c r="E9" s="9"/>
      <c r="F9" s="9"/>
      <c r="G9" s="5"/>
      <c r="H9" s="5"/>
      <c r="I9" s="5"/>
      <c r="J9" s="5"/>
      <c r="K9" s="5"/>
      <c r="L9" s="5"/>
      <c r="M9" s="5"/>
      <c r="N9" s="1"/>
      <c r="P9" s="22">
        <f>P7/2</f>
        <v>62.5</v>
      </c>
    </row>
    <row r="10" spans="1:20" ht="21" x14ac:dyDescent="0.25">
      <c r="B10" s="15" t="s">
        <v>37</v>
      </c>
      <c r="C10" s="20">
        <f>D14*2/0.025</f>
        <v>100.16741071428571</v>
      </c>
      <c r="D10" s="23">
        <v>100</v>
      </c>
      <c r="E10" s="9"/>
      <c r="F10" s="9"/>
      <c r="G10" s="5"/>
      <c r="H10" s="5"/>
      <c r="I10" s="5"/>
      <c r="J10" s="5"/>
      <c r="K10" s="5"/>
      <c r="L10" s="5"/>
      <c r="M10" s="5"/>
      <c r="N10" s="1"/>
    </row>
    <row r="11" spans="1:20" ht="15.75" x14ac:dyDescent="0.25">
      <c r="B11" s="13"/>
      <c r="C11" s="13"/>
      <c r="D11" s="13"/>
      <c r="E11" s="9"/>
      <c r="F11" s="9"/>
      <c r="G11" s="5"/>
      <c r="H11" s="5"/>
      <c r="I11" s="5"/>
      <c r="J11" s="5"/>
      <c r="K11" s="5"/>
      <c r="L11" s="5"/>
      <c r="M11" s="5"/>
      <c r="N11" s="1"/>
      <c r="S11">
        <f>(4.4*100)</f>
        <v>440.00000000000006</v>
      </c>
    </row>
    <row r="12" spans="1:20" ht="22.5" x14ac:dyDescent="0.25">
      <c r="B12" s="37" t="s">
        <v>34</v>
      </c>
      <c r="C12" s="37"/>
      <c r="D12" s="37"/>
      <c r="E12" s="9"/>
      <c r="F12" s="9"/>
      <c r="G12" s="5"/>
      <c r="H12" s="5"/>
      <c r="I12" s="5"/>
      <c r="J12" s="5"/>
      <c r="K12" s="5"/>
      <c r="L12" s="5"/>
      <c r="M12" s="5"/>
      <c r="N12" s="1"/>
    </row>
    <row r="13" spans="1:20" ht="31.5" x14ac:dyDescent="0.25">
      <c r="B13" s="13"/>
      <c r="C13" s="13"/>
      <c r="D13" s="19"/>
      <c r="E13" s="9"/>
      <c r="F13" s="9"/>
      <c r="G13" s="5"/>
      <c r="H13" s="5"/>
      <c r="I13" s="5"/>
      <c r="J13" s="5"/>
      <c r="K13" s="5"/>
      <c r="L13" s="5"/>
      <c r="M13" s="5"/>
      <c r="N13" s="1"/>
      <c r="P13" s="15" t="s">
        <v>47</v>
      </c>
    </row>
    <row r="14" spans="1:20" ht="47.25" x14ac:dyDescent="0.25">
      <c r="B14" s="16" t="s">
        <v>33</v>
      </c>
      <c r="C14" s="18">
        <f>C35</f>
        <v>21.911621093750004</v>
      </c>
      <c r="D14" s="18">
        <f>D35</f>
        <v>1.2520926339285714</v>
      </c>
      <c r="E14" s="9"/>
      <c r="F14" s="9"/>
      <c r="G14" s="5"/>
      <c r="H14" s="5"/>
      <c r="I14" s="5"/>
      <c r="J14" s="5"/>
      <c r="K14" s="5"/>
      <c r="L14" s="5"/>
      <c r="M14" s="5"/>
      <c r="N14" s="1"/>
      <c r="P14" s="20">
        <f>(D14*2)/0.025</f>
        <v>100.16741071428571</v>
      </c>
    </row>
    <row r="15" spans="1:20" ht="20.25" x14ac:dyDescent="0.25">
      <c r="B15" s="13"/>
      <c r="C15" s="19"/>
      <c r="D15" s="19"/>
      <c r="E15" s="9"/>
      <c r="F15" s="9"/>
      <c r="G15" s="5"/>
      <c r="H15" s="5"/>
      <c r="I15" s="5"/>
      <c r="J15" s="5"/>
      <c r="K15" s="5"/>
      <c r="L15" s="5"/>
      <c r="M15" s="5"/>
      <c r="N15" s="1"/>
    </row>
    <row r="16" spans="1:20" ht="31.5" x14ac:dyDescent="0.25">
      <c r="B16" s="16" t="s">
        <v>32</v>
      </c>
      <c r="C16" s="20">
        <f>C36</f>
        <v>1795.0000000000002</v>
      </c>
      <c r="D16" s="20">
        <f>D36</f>
        <v>102.57142857142857</v>
      </c>
      <c r="E16" s="9"/>
      <c r="F16" s="9"/>
      <c r="G16" s="5"/>
      <c r="H16" s="5"/>
      <c r="I16" s="5"/>
      <c r="J16" s="5"/>
      <c r="K16" s="5"/>
      <c r="L16" s="5"/>
      <c r="M16" s="5"/>
      <c r="N16" s="1"/>
    </row>
    <row r="17" spans="2:20" ht="20.25" x14ac:dyDescent="0.25">
      <c r="B17" s="13"/>
      <c r="C17" s="19"/>
      <c r="D17" s="19"/>
      <c r="E17" s="9"/>
      <c r="F17" s="9"/>
      <c r="G17" s="5"/>
      <c r="H17" s="5"/>
      <c r="I17" s="5"/>
      <c r="J17" s="5"/>
      <c r="K17" s="5"/>
      <c r="L17" s="5"/>
      <c r="M17" s="5"/>
      <c r="N17" s="1"/>
    </row>
    <row r="18" spans="2:20" ht="31.5" x14ac:dyDescent="0.25">
      <c r="B18" s="16" t="s">
        <v>31</v>
      </c>
      <c r="C18" s="20">
        <f>C37</f>
        <v>1196.3745117187502</v>
      </c>
      <c r="D18" s="20">
        <f>D37</f>
        <v>68.3642578125</v>
      </c>
      <c r="E18" s="9"/>
      <c r="F18" s="9"/>
      <c r="G18" s="5"/>
      <c r="H18" s="5"/>
      <c r="I18" s="5"/>
      <c r="J18" s="5"/>
      <c r="K18" s="5"/>
      <c r="L18" s="5"/>
      <c r="M18" s="5"/>
      <c r="N18" s="1"/>
    </row>
    <row r="19" spans="2:20" ht="20.25" x14ac:dyDescent="0.25">
      <c r="B19" s="13"/>
      <c r="C19" s="19"/>
      <c r="D19" s="19"/>
      <c r="E19" s="9"/>
      <c r="F19" s="9"/>
      <c r="G19" s="5"/>
      <c r="H19" s="5"/>
      <c r="I19" s="5"/>
      <c r="J19" s="5"/>
      <c r="K19" s="5"/>
      <c r="L19" s="5"/>
      <c r="M19" s="5"/>
      <c r="N19" s="1"/>
    </row>
    <row r="20" spans="2:20" ht="33.75" x14ac:dyDescent="0.25">
      <c r="B20" s="16" t="s">
        <v>40</v>
      </c>
      <c r="C20" s="20">
        <f>C38</f>
        <v>2147492.2485351567</v>
      </c>
      <c r="D20" s="20">
        <f>D38</f>
        <v>7012.2195870535716</v>
      </c>
      <c r="E20" s="9"/>
      <c r="F20" s="9"/>
      <c r="G20" s="5"/>
      <c r="H20" s="5"/>
      <c r="I20" s="5"/>
      <c r="J20" s="5"/>
      <c r="K20" s="5"/>
      <c r="L20" s="5"/>
      <c r="M20" s="5"/>
      <c r="N20" s="1"/>
    </row>
    <row r="21" spans="2:20" ht="20.25" x14ac:dyDescent="0.25">
      <c r="B21" s="13"/>
      <c r="C21" s="19"/>
      <c r="D21" s="13"/>
      <c r="E21" s="9"/>
      <c r="F21" s="9"/>
      <c r="G21" s="5"/>
      <c r="H21" s="5"/>
      <c r="I21" s="5"/>
      <c r="J21" s="5"/>
      <c r="K21" s="5"/>
      <c r="L21" s="5"/>
      <c r="M21" s="5"/>
      <c r="N21" s="1"/>
    </row>
    <row r="22" spans="2:20" ht="20.25" x14ac:dyDescent="0.25">
      <c r="B22" s="13"/>
      <c r="C22" s="19"/>
      <c r="D22" s="15" t="s">
        <v>42</v>
      </c>
      <c r="E22" s="9"/>
      <c r="F22" s="9"/>
      <c r="G22" s="5"/>
      <c r="H22" s="5"/>
      <c r="I22" s="5"/>
      <c r="J22" s="5"/>
      <c r="K22" s="5"/>
      <c r="L22" s="5"/>
      <c r="M22" s="5"/>
      <c r="N22" s="1"/>
    </row>
    <row r="23" spans="2:20" ht="31.5" x14ac:dyDescent="0.25">
      <c r="B23" s="15" t="s">
        <v>30</v>
      </c>
      <c r="C23" s="21">
        <v>80</v>
      </c>
      <c r="D23" s="20">
        <f>C53</f>
        <v>24.611132812499999</v>
      </c>
      <c r="E23" s="9"/>
      <c r="F23" s="9"/>
      <c r="G23" s="5"/>
      <c r="H23" s="5"/>
      <c r="I23" s="5"/>
      <c r="J23" s="5"/>
      <c r="K23" s="5"/>
      <c r="L23" s="5"/>
      <c r="M23" s="5"/>
      <c r="N23" s="1"/>
    </row>
    <row r="24" spans="2:20" ht="31.5" x14ac:dyDescent="0.25">
      <c r="B24" s="3"/>
      <c r="C24" s="3"/>
      <c r="D24" s="15" t="s">
        <v>44</v>
      </c>
      <c r="E24" s="3"/>
      <c r="F24" s="3"/>
      <c r="G24" s="5"/>
      <c r="H24" s="5"/>
      <c r="I24" s="5"/>
      <c r="J24" s="5"/>
      <c r="K24" s="5"/>
      <c r="L24" s="5"/>
      <c r="M24" s="5"/>
      <c r="N24" s="1"/>
    </row>
    <row r="25" spans="2:20" ht="31.5" x14ac:dyDescent="0.25">
      <c r="B25" s="15" t="s">
        <v>43</v>
      </c>
      <c r="C25" s="21">
        <v>50</v>
      </c>
      <c r="D25" s="20">
        <f>D16-((C25*D36)/100)</f>
        <v>51.285714285714285</v>
      </c>
      <c r="E25" s="3"/>
      <c r="F25" s="3"/>
      <c r="G25" s="5"/>
      <c r="H25" s="5"/>
      <c r="I25" s="5"/>
      <c r="J25" s="5"/>
      <c r="K25" s="5"/>
      <c r="L25" s="5"/>
      <c r="M25" s="5"/>
      <c r="N25" s="1"/>
    </row>
    <row r="26" spans="2:20" x14ac:dyDescent="0.25">
      <c r="B26" s="3"/>
      <c r="C26" s="3"/>
      <c r="D26" s="3"/>
      <c r="E26" s="3"/>
      <c r="F26" s="3"/>
      <c r="G26" s="5"/>
      <c r="H26" s="5"/>
      <c r="I26" s="5"/>
      <c r="J26" s="5"/>
      <c r="K26" s="5"/>
      <c r="L26" s="5"/>
      <c r="M26" s="5"/>
      <c r="N26" s="1"/>
    </row>
    <row r="27" spans="2:20" x14ac:dyDescent="0.25">
      <c r="B27" s="17" t="s">
        <v>29</v>
      </c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1"/>
      <c r="T27">
        <f>(P9*D31*C33)/C29*10</f>
        <v>4991.6434540389973</v>
      </c>
    </row>
    <row r="28" spans="2:20" x14ac:dyDescent="0.25">
      <c r="B28" s="3"/>
      <c r="C28" s="3"/>
      <c r="D28" s="3"/>
      <c r="E28" s="3"/>
      <c r="F28" s="3"/>
      <c r="G28" s="5"/>
      <c r="H28" s="5"/>
      <c r="I28" s="5"/>
      <c r="J28" s="5"/>
      <c r="K28" s="5"/>
      <c r="L28" s="5"/>
      <c r="M28" s="5"/>
      <c r="N28" s="1"/>
    </row>
    <row r="29" spans="2:20" x14ac:dyDescent="0.25">
      <c r="B29" s="25" t="s">
        <v>28</v>
      </c>
      <c r="C29" s="25">
        <v>35.9</v>
      </c>
      <c r="D29" s="25" t="s">
        <v>70</v>
      </c>
      <c r="E29" s="26" t="s">
        <v>27</v>
      </c>
      <c r="F29" s="26"/>
      <c r="G29" s="26"/>
      <c r="H29" s="26"/>
      <c r="I29" s="26"/>
      <c r="J29" s="5"/>
      <c r="K29" s="5"/>
      <c r="L29" s="5"/>
      <c r="M29" s="5"/>
      <c r="N29" s="1"/>
    </row>
    <row r="30" spans="2:20" x14ac:dyDescent="0.25">
      <c r="B30" s="25" t="s">
        <v>60</v>
      </c>
      <c r="C30" s="25">
        <v>35</v>
      </c>
      <c r="D30" s="25">
        <v>35</v>
      </c>
      <c r="E30" s="26" t="s">
        <v>26</v>
      </c>
      <c r="F30" s="26"/>
      <c r="G30" s="26"/>
      <c r="H30" s="26"/>
      <c r="I30" s="26"/>
      <c r="J30" s="5"/>
      <c r="K30" s="5"/>
      <c r="L30" s="5"/>
      <c r="M30" s="5"/>
      <c r="N30" s="1"/>
    </row>
    <row r="31" spans="2:20" x14ac:dyDescent="0.25">
      <c r="B31" s="25" t="s">
        <v>25</v>
      </c>
      <c r="C31" s="30">
        <f>C30/1000</f>
        <v>3.5000000000000003E-2</v>
      </c>
      <c r="D31" s="30">
        <f>D30/1000</f>
        <v>3.5000000000000003E-2</v>
      </c>
      <c r="E31" s="26" t="s">
        <v>24</v>
      </c>
      <c r="F31" s="26"/>
      <c r="G31" s="26"/>
      <c r="H31" s="26"/>
      <c r="I31" s="26"/>
      <c r="J31" s="5"/>
      <c r="K31" s="5"/>
      <c r="L31" s="5"/>
      <c r="M31" s="5"/>
      <c r="N31" s="1"/>
    </row>
    <row r="32" spans="2:20" x14ac:dyDescent="0.25">
      <c r="B32" s="14" t="s">
        <v>23</v>
      </c>
      <c r="C32" s="14">
        <f>C39*D31*10</f>
        <v>1750.0000000000002</v>
      </c>
      <c r="D32" s="14">
        <f>D10</f>
        <v>100</v>
      </c>
      <c r="E32" s="10" t="s">
        <v>22</v>
      </c>
      <c r="F32" s="10"/>
      <c r="G32" s="11"/>
      <c r="H32" s="11"/>
      <c r="J32" s="6"/>
      <c r="K32" s="6"/>
      <c r="L32" s="6"/>
      <c r="M32" s="6"/>
      <c r="N32" s="1"/>
    </row>
    <row r="33" spans="2:14" x14ac:dyDescent="0.25">
      <c r="B33" s="25" t="s">
        <v>21</v>
      </c>
      <c r="C33" s="25">
        <v>8192</v>
      </c>
      <c r="D33" s="25"/>
      <c r="E33" s="26" t="s">
        <v>20</v>
      </c>
      <c r="F33" s="26"/>
      <c r="G33" s="28"/>
      <c r="H33" s="12"/>
      <c r="I33" s="6" t="s">
        <v>48</v>
      </c>
      <c r="J33" s="7"/>
      <c r="K33" s="7"/>
      <c r="L33" s="7"/>
      <c r="M33" s="7"/>
      <c r="N33" s="1"/>
    </row>
    <row r="34" spans="2:14" x14ac:dyDescent="0.25">
      <c r="B34" s="25" t="s">
        <v>19</v>
      </c>
      <c r="C34" s="25">
        <v>5460</v>
      </c>
      <c r="D34" s="25"/>
      <c r="E34" s="26" t="s">
        <v>18</v>
      </c>
      <c r="F34" s="26"/>
      <c r="G34" s="26"/>
      <c r="H34" s="10"/>
      <c r="I34" s="5" t="s">
        <v>48</v>
      </c>
      <c r="J34" s="5"/>
      <c r="K34" s="5"/>
      <c r="L34" s="8"/>
      <c r="M34" s="5"/>
      <c r="N34" s="1"/>
    </row>
    <row r="35" spans="2:14" x14ac:dyDescent="0.25">
      <c r="B35" s="14" t="s">
        <v>17</v>
      </c>
      <c r="C35" s="14">
        <f>(C29*C32*100)/(C30*C33)</f>
        <v>21.911621093750004</v>
      </c>
      <c r="D35" s="14">
        <f>(C29*D32*100)/(C30*C33)</f>
        <v>1.2520926339285714</v>
      </c>
      <c r="E35" s="10" t="s">
        <v>16</v>
      </c>
      <c r="F35" s="10"/>
      <c r="G35" s="10"/>
      <c r="H35" s="10"/>
      <c r="I35" s="5"/>
      <c r="J35" s="5"/>
      <c r="K35" s="5"/>
      <c r="L35" s="5"/>
      <c r="M35" s="5"/>
      <c r="N35" s="1"/>
    </row>
    <row r="36" spans="2:14" x14ac:dyDescent="0.25">
      <c r="B36" s="14" t="s">
        <v>15</v>
      </c>
      <c r="C36" s="14">
        <f>(C35*C33)/100</f>
        <v>1795.0000000000002</v>
      </c>
      <c r="D36" s="14">
        <f>(D35*C33)/100</f>
        <v>102.57142857142857</v>
      </c>
      <c r="E36" s="10" t="s">
        <v>14</v>
      </c>
      <c r="F36" s="10"/>
      <c r="G36" s="10"/>
      <c r="H36" s="10"/>
      <c r="I36" s="5"/>
      <c r="J36" s="5"/>
      <c r="K36" s="5"/>
      <c r="L36" s="5"/>
      <c r="M36" s="5"/>
      <c r="N36" s="1"/>
    </row>
    <row r="37" spans="2:14" x14ac:dyDescent="0.25">
      <c r="B37" s="14" t="s">
        <v>41</v>
      </c>
      <c r="C37" s="14">
        <f>(C35*C34)/100</f>
        <v>1196.3745117187502</v>
      </c>
      <c r="D37" s="14">
        <f>(D35*C34)/100</f>
        <v>68.3642578125</v>
      </c>
      <c r="E37" s="10" t="s">
        <v>13</v>
      </c>
      <c r="F37" s="10"/>
      <c r="G37" s="10"/>
      <c r="H37" s="10"/>
      <c r="I37" s="5"/>
      <c r="J37" s="5"/>
      <c r="K37" s="5"/>
      <c r="L37" s="5"/>
      <c r="M37" s="5"/>
      <c r="N37" s="1"/>
    </row>
    <row r="38" spans="2:14" x14ac:dyDescent="0.25">
      <c r="B38" s="14" t="s">
        <v>12</v>
      </c>
      <c r="C38" s="14">
        <f>C36*C37</f>
        <v>2147492.2485351567</v>
      </c>
      <c r="D38" s="14">
        <f>D36*D37</f>
        <v>7012.2195870535716</v>
      </c>
      <c r="E38" s="10" t="s">
        <v>11</v>
      </c>
      <c r="F38" s="10"/>
      <c r="G38" s="10"/>
      <c r="H38" s="10"/>
      <c r="I38" s="5"/>
      <c r="J38" s="5"/>
      <c r="K38" s="5"/>
      <c r="L38" s="5"/>
      <c r="M38" s="5"/>
      <c r="N38" s="1"/>
    </row>
    <row r="39" spans="2:14" x14ac:dyDescent="0.25">
      <c r="B39" s="14" t="s">
        <v>10</v>
      </c>
      <c r="C39" s="14">
        <f>C7</f>
        <v>5000</v>
      </c>
      <c r="D39" s="14">
        <f>(1/(D31/D32))/10</f>
        <v>285.71428571428567</v>
      </c>
      <c r="E39" s="10"/>
      <c r="F39" s="10"/>
      <c r="G39" s="10"/>
      <c r="H39" s="10"/>
      <c r="I39" s="5"/>
      <c r="J39" s="5"/>
      <c r="K39" s="5"/>
      <c r="L39" s="5"/>
      <c r="M39" s="5"/>
      <c r="N39" s="1"/>
    </row>
    <row r="40" spans="2:14" x14ac:dyDescent="0.25">
      <c r="B40" s="14"/>
      <c r="C40" s="14"/>
      <c r="D40" s="14">
        <v>160000</v>
      </c>
      <c r="E40" s="10"/>
      <c r="F40" s="10"/>
      <c r="G40" s="10"/>
      <c r="H40" s="10"/>
      <c r="I40" s="5"/>
      <c r="J40" s="5"/>
      <c r="K40" s="5"/>
      <c r="L40" s="5"/>
      <c r="M40" s="5"/>
      <c r="N40" s="1"/>
    </row>
    <row r="41" spans="2:14" x14ac:dyDescent="0.25">
      <c r="B41" s="14" t="s">
        <v>9</v>
      </c>
      <c r="C41" s="14">
        <v>3000</v>
      </c>
      <c r="D41" s="14"/>
      <c r="E41" s="10"/>
      <c r="F41" s="10"/>
      <c r="G41" s="10"/>
      <c r="H41" s="10"/>
      <c r="I41" s="5"/>
      <c r="J41" s="5"/>
      <c r="K41" s="5"/>
      <c r="L41" s="5"/>
      <c r="M41" s="5"/>
      <c r="N41" s="1"/>
    </row>
    <row r="42" spans="2:14" x14ac:dyDescent="0.25">
      <c r="B42" s="14" t="s">
        <v>8</v>
      </c>
      <c r="C42" s="14">
        <f>C41/C37</f>
        <v>2.5075759894701393</v>
      </c>
      <c r="D42" s="14">
        <f>C41/D38</f>
        <v>0.42782459430374947</v>
      </c>
      <c r="E42" s="10"/>
      <c r="F42" s="10"/>
      <c r="G42" s="10"/>
      <c r="H42" s="10"/>
      <c r="I42" s="5"/>
      <c r="J42" s="5"/>
      <c r="K42" s="5"/>
      <c r="L42" s="5"/>
      <c r="M42" s="5"/>
      <c r="N42" s="1"/>
    </row>
    <row r="43" spans="2:14" x14ac:dyDescent="0.25">
      <c r="B43" s="14"/>
      <c r="C43" s="14"/>
      <c r="D43" s="14"/>
      <c r="E43" s="10"/>
      <c r="F43" s="10"/>
      <c r="G43" s="10"/>
      <c r="H43" s="10"/>
      <c r="I43" s="5"/>
      <c r="J43" s="5"/>
      <c r="K43" s="5"/>
      <c r="L43" s="5"/>
      <c r="M43" s="5"/>
      <c r="N43" s="1"/>
    </row>
    <row r="44" spans="2:14" x14ac:dyDescent="0.25">
      <c r="B44" s="14"/>
      <c r="C44" s="14"/>
      <c r="D44" s="14"/>
      <c r="E44" s="10"/>
      <c r="F44" s="10"/>
      <c r="G44" s="10"/>
      <c r="H44" s="10"/>
      <c r="I44" s="5"/>
      <c r="J44" s="5"/>
      <c r="K44" s="5"/>
      <c r="L44" s="5"/>
      <c r="M44" s="5"/>
      <c r="N44" s="1"/>
    </row>
    <row r="45" spans="2:14" x14ac:dyDescent="0.25">
      <c r="B45" s="14" t="s">
        <v>1</v>
      </c>
      <c r="C45" s="14">
        <v>15</v>
      </c>
      <c r="D45" s="14" t="s">
        <v>0</v>
      </c>
      <c r="E45" s="10"/>
      <c r="F45" s="10"/>
      <c r="G45" s="10"/>
      <c r="H45" s="10"/>
      <c r="I45" s="5"/>
      <c r="J45" s="5"/>
      <c r="K45" s="5"/>
      <c r="L45" s="5"/>
      <c r="M45" s="5"/>
      <c r="N45" s="1"/>
    </row>
    <row r="46" spans="2:14" x14ac:dyDescent="0.25">
      <c r="B46" s="14" t="s">
        <v>3</v>
      </c>
      <c r="C46" s="14">
        <v>2</v>
      </c>
      <c r="D46" s="14" t="s">
        <v>2</v>
      </c>
      <c r="E46" s="10"/>
      <c r="F46" s="10"/>
      <c r="G46" s="10"/>
      <c r="H46" s="10"/>
      <c r="I46" s="5"/>
      <c r="J46" s="5"/>
      <c r="K46" s="5"/>
      <c r="L46" s="5"/>
      <c r="M46" s="5"/>
      <c r="N46" s="1"/>
    </row>
    <row r="47" spans="2:14" x14ac:dyDescent="0.25">
      <c r="B47" s="14" t="s">
        <v>5</v>
      </c>
      <c r="C47" s="14">
        <f>((C45*1000)*C46)/3600</f>
        <v>8.3333333333333339</v>
      </c>
      <c r="D47" s="14" t="s">
        <v>4</v>
      </c>
      <c r="E47" s="10"/>
      <c r="F47" s="10"/>
      <c r="G47" s="10"/>
      <c r="H47" s="10"/>
      <c r="I47" s="5"/>
      <c r="J47" s="5"/>
      <c r="K47" s="5"/>
      <c r="L47" s="5"/>
      <c r="M47" s="5"/>
      <c r="N47" s="1"/>
    </row>
    <row r="48" spans="2:14" x14ac:dyDescent="0.25">
      <c r="B48" s="14" t="s">
        <v>7</v>
      </c>
      <c r="C48" s="14">
        <f>100-(100*C47)/D37</f>
        <v>87.810394495631272</v>
      </c>
      <c r="D48" s="14" t="s">
        <v>6</v>
      </c>
      <c r="E48" s="10"/>
      <c r="F48" s="10"/>
      <c r="G48" s="10"/>
      <c r="H48" s="10"/>
      <c r="I48" s="5"/>
      <c r="J48" s="5"/>
      <c r="K48" s="5"/>
      <c r="L48" s="5"/>
      <c r="M48" s="5"/>
      <c r="N48" s="1"/>
    </row>
    <row r="49" spans="2:14" x14ac:dyDescent="0.25">
      <c r="B49" s="14"/>
      <c r="C49" s="14"/>
      <c r="D49" s="14"/>
      <c r="E49" s="10"/>
      <c r="F49" s="10"/>
      <c r="G49" s="10"/>
      <c r="H49" s="10"/>
      <c r="I49" s="5"/>
      <c r="J49" s="5"/>
      <c r="K49" s="5"/>
      <c r="L49" s="5"/>
      <c r="M49" s="5"/>
      <c r="N49" s="1"/>
    </row>
    <row r="50" spans="2:14" x14ac:dyDescent="0.25">
      <c r="B50" s="14" t="s">
        <v>7</v>
      </c>
      <c r="C50" s="14">
        <f>C23</f>
        <v>80</v>
      </c>
      <c r="D50" s="14" t="s">
        <v>6</v>
      </c>
      <c r="E50" s="10"/>
      <c r="F50" s="10"/>
      <c r="G50" s="10"/>
      <c r="H50" s="10"/>
      <c r="I50" s="5"/>
      <c r="J50" s="5"/>
      <c r="K50" s="5"/>
      <c r="L50" s="5"/>
      <c r="M50" s="5"/>
      <c r="N50" s="1"/>
    </row>
    <row r="51" spans="2:14" x14ac:dyDescent="0.25">
      <c r="B51" s="14" t="s">
        <v>5</v>
      </c>
      <c r="C51" s="14">
        <f>D37-(D37*C50)/100</f>
        <v>13.6728515625</v>
      </c>
      <c r="D51" s="14" t="s">
        <v>4</v>
      </c>
      <c r="E51" s="10"/>
      <c r="F51" s="10"/>
      <c r="G51" s="10"/>
      <c r="H51" s="10"/>
      <c r="I51" s="5"/>
      <c r="J51" s="5"/>
      <c r="K51" s="5"/>
      <c r="L51" s="5"/>
      <c r="M51" s="5"/>
      <c r="N51" s="1"/>
    </row>
    <row r="52" spans="2:14" x14ac:dyDescent="0.25">
      <c r="B52" s="14" t="s">
        <v>3</v>
      </c>
      <c r="C52" s="14">
        <v>2</v>
      </c>
      <c r="D52" s="14" t="s">
        <v>2</v>
      </c>
      <c r="E52" s="10"/>
      <c r="F52" s="10"/>
      <c r="G52" s="10"/>
      <c r="H52" s="10"/>
      <c r="I52" s="5"/>
      <c r="J52" s="5"/>
      <c r="K52" s="5"/>
      <c r="L52" s="5"/>
      <c r="M52" s="5"/>
      <c r="N52" s="1"/>
    </row>
    <row r="53" spans="2:14" x14ac:dyDescent="0.25">
      <c r="B53" s="14" t="s">
        <v>1</v>
      </c>
      <c r="C53" s="14">
        <f>((C51*3600)/C52)/1000</f>
        <v>24.611132812499999</v>
      </c>
      <c r="D53" s="14" t="s">
        <v>0</v>
      </c>
      <c r="E53" s="10"/>
      <c r="F53" s="10"/>
      <c r="G53" s="10"/>
      <c r="H53" s="10"/>
      <c r="I53" s="5"/>
      <c r="J53" s="5"/>
      <c r="K53" s="5"/>
      <c r="L53" s="5"/>
      <c r="M53" s="5"/>
      <c r="N53" s="1"/>
    </row>
  </sheetData>
  <mergeCells count="2">
    <mergeCell ref="A1:N4"/>
    <mergeCell ref="B12:D12"/>
  </mergeCells>
  <hyperlinks>
    <hyperlink ref="E35" r:id="rId1" display="= Ground Sampling Distance (centimeters/pixel)" xr:uid="{AD3933EA-754C-47B4-AABC-A19BF7906641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6"/>
  <sheetViews>
    <sheetView topLeftCell="A15" workbookViewId="0">
      <selection activeCell="B33" sqref="B33:E34"/>
    </sheetView>
  </sheetViews>
  <sheetFormatPr defaultRowHeight="15" x14ac:dyDescent="0.25"/>
  <cols>
    <col min="2" max="2" width="34.7109375" customWidth="1"/>
    <col min="3" max="3" width="23.85546875" customWidth="1"/>
    <col min="4" max="4" width="33.5703125" customWidth="1"/>
    <col min="16" max="16" width="27.140625" customWidth="1"/>
    <col min="17" max="17" width="25" customWidth="1"/>
    <col min="18" max="18" width="11" customWidth="1"/>
  </cols>
  <sheetData>
    <row r="1" spans="1:16" x14ac:dyDescent="0.25">
      <c r="A1" s="33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6" x14ac:dyDescent="0.25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5"/>
    </row>
    <row r="3" spans="1:16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6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20.25" x14ac:dyDescent="0.3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2"/>
    </row>
    <row r="6" spans="1:16" ht="20.25" x14ac:dyDescent="0.25">
      <c r="B6" s="13"/>
      <c r="C6" s="19"/>
      <c r="D6" s="15" t="s">
        <v>36</v>
      </c>
      <c r="E6" s="9"/>
      <c r="F6" s="9"/>
      <c r="G6" s="5"/>
      <c r="H6" s="5"/>
      <c r="I6" s="5"/>
      <c r="J6" s="5"/>
      <c r="K6" s="5"/>
      <c r="L6" s="5"/>
      <c r="M6" s="5"/>
      <c r="N6" s="1"/>
      <c r="P6" s="15" t="s">
        <v>45</v>
      </c>
    </row>
    <row r="7" spans="1:16" ht="31.5" x14ac:dyDescent="0.25">
      <c r="B7" s="15" t="s">
        <v>35</v>
      </c>
      <c r="C7" s="21">
        <v>164</v>
      </c>
      <c r="D7" s="22">
        <f>C32</f>
        <v>40.015999999999998</v>
      </c>
      <c r="E7" s="9"/>
      <c r="F7" s="9"/>
      <c r="G7" s="5"/>
      <c r="H7" s="5"/>
      <c r="I7" s="5"/>
      <c r="J7" s="5"/>
      <c r="K7" s="5"/>
      <c r="L7" s="5"/>
      <c r="M7" s="5"/>
      <c r="N7" s="1"/>
      <c r="P7" s="22">
        <f>0.025*C7</f>
        <v>4.1000000000000005</v>
      </c>
    </row>
    <row r="8" spans="1:16" ht="31.5" x14ac:dyDescent="0.25">
      <c r="B8" s="13"/>
      <c r="C8" s="19"/>
      <c r="D8" s="13"/>
      <c r="E8" s="9"/>
      <c r="F8" s="9"/>
      <c r="G8" s="5"/>
      <c r="H8" s="5"/>
      <c r="I8" s="5"/>
      <c r="J8" s="5"/>
      <c r="K8" s="5"/>
      <c r="L8" s="5"/>
      <c r="M8" s="5"/>
      <c r="N8" s="1"/>
      <c r="P8" s="15" t="s">
        <v>46</v>
      </c>
    </row>
    <row r="9" spans="1:16" ht="31.5" x14ac:dyDescent="0.25">
      <c r="B9" s="13"/>
      <c r="C9" s="15" t="s">
        <v>38</v>
      </c>
      <c r="D9" s="13"/>
      <c r="E9" s="9"/>
      <c r="F9" s="9"/>
      <c r="G9" s="5"/>
      <c r="H9" s="5"/>
      <c r="I9" s="5"/>
      <c r="J9" s="5"/>
      <c r="K9" s="5"/>
      <c r="L9" s="5"/>
      <c r="M9" s="5"/>
      <c r="N9" s="1"/>
      <c r="P9" s="22">
        <f>P7/3</f>
        <v>1.3666666666666669</v>
      </c>
    </row>
    <row r="10" spans="1:16" ht="21" x14ac:dyDescent="0.25">
      <c r="B10" s="15" t="s">
        <v>37</v>
      </c>
      <c r="C10" s="20">
        <f>D39</f>
        <v>163.9344262295082</v>
      </c>
      <c r="D10" s="23">
        <v>40</v>
      </c>
      <c r="E10" s="9"/>
      <c r="F10" s="9"/>
      <c r="G10" s="5"/>
      <c r="H10" s="5"/>
      <c r="I10" s="5"/>
      <c r="J10" s="5"/>
      <c r="K10" s="5"/>
      <c r="L10" s="5"/>
      <c r="M10" s="5"/>
      <c r="N10" s="1"/>
    </row>
    <row r="11" spans="1:16" ht="15.75" x14ac:dyDescent="0.25">
      <c r="B11" s="13"/>
      <c r="C11" s="13"/>
      <c r="D11" s="13"/>
      <c r="E11" s="9"/>
      <c r="F11" s="9"/>
      <c r="G11" s="5"/>
      <c r="H11" s="5"/>
      <c r="I11" s="5"/>
      <c r="J11" s="5"/>
      <c r="K11" s="5"/>
      <c r="L11" s="5"/>
      <c r="M11" s="5"/>
      <c r="N11" s="1"/>
    </row>
    <row r="12" spans="1:16" ht="22.5" x14ac:dyDescent="0.25">
      <c r="B12" s="37" t="s">
        <v>34</v>
      </c>
      <c r="C12" s="37"/>
      <c r="D12" s="37"/>
      <c r="E12" s="9"/>
      <c r="F12" s="9"/>
      <c r="G12" s="5"/>
      <c r="H12" s="5"/>
      <c r="I12" s="5"/>
      <c r="J12" s="5"/>
      <c r="K12" s="5"/>
      <c r="L12" s="5"/>
      <c r="M12" s="5"/>
      <c r="N12" s="1"/>
    </row>
    <row r="13" spans="1:16" ht="31.5" x14ac:dyDescent="0.25">
      <c r="B13" s="13"/>
      <c r="C13" s="13"/>
      <c r="D13" s="19"/>
      <c r="E13" s="9"/>
      <c r="F13" s="9"/>
      <c r="G13" s="5"/>
      <c r="H13" s="5"/>
      <c r="I13" s="5"/>
      <c r="J13" s="5"/>
      <c r="K13" s="5"/>
      <c r="L13" s="5"/>
      <c r="M13" s="5"/>
      <c r="N13" s="1"/>
      <c r="P13" s="15" t="s">
        <v>47</v>
      </c>
    </row>
    <row r="14" spans="1:16" ht="47.25" x14ac:dyDescent="0.25">
      <c r="B14" s="16" t="s">
        <v>33</v>
      </c>
      <c r="C14" s="18">
        <f>C35</f>
        <v>1.0725536062378167</v>
      </c>
      <c r="D14" s="18">
        <f>D35</f>
        <v>1.0721247563352827</v>
      </c>
      <c r="E14" s="9"/>
      <c r="F14" s="9"/>
      <c r="G14" s="5"/>
      <c r="H14" s="5"/>
      <c r="I14" s="5"/>
      <c r="J14" s="5"/>
      <c r="K14" s="5"/>
      <c r="L14" s="5"/>
      <c r="M14" s="5"/>
      <c r="N14" s="1"/>
      <c r="P14" s="20">
        <f>(D14*3)/0.025</f>
        <v>128.65497076023391</v>
      </c>
    </row>
    <row r="15" spans="1:16" ht="20.25" x14ac:dyDescent="0.25">
      <c r="B15" s="13"/>
      <c r="C15" s="19"/>
      <c r="D15" s="19"/>
      <c r="E15" s="9"/>
      <c r="F15" s="9"/>
      <c r="G15" s="5"/>
      <c r="H15" s="5"/>
      <c r="I15" s="5"/>
      <c r="J15" s="5"/>
      <c r="K15" s="5"/>
      <c r="L15" s="5"/>
      <c r="M15" s="5"/>
      <c r="N15" s="1"/>
    </row>
    <row r="16" spans="1:16" ht="31.5" x14ac:dyDescent="0.25">
      <c r="B16" s="16" t="s">
        <v>32</v>
      </c>
      <c r="C16" s="20">
        <f>C36</f>
        <v>58.690133333333335</v>
      </c>
      <c r="D16" s="20">
        <f>D36</f>
        <v>58.666666666666671</v>
      </c>
      <c r="E16" s="9"/>
      <c r="F16" s="9"/>
      <c r="G16" s="5"/>
      <c r="H16" s="5"/>
      <c r="I16" s="5"/>
      <c r="J16" s="5"/>
      <c r="K16" s="5"/>
      <c r="L16" s="5"/>
      <c r="M16" s="5"/>
      <c r="N16" s="1"/>
    </row>
    <row r="17" spans="2:18" ht="20.25" x14ac:dyDescent="0.25">
      <c r="B17" s="13"/>
      <c r="C17" s="19"/>
      <c r="D17" s="19"/>
      <c r="E17" s="9"/>
      <c r="F17" s="9"/>
      <c r="G17" s="5"/>
      <c r="H17" s="5"/>
      <c r="I17" s="5"/>
      <c r="J17" s="5"/>
      <c r="K17" s="5"/>
      <c r="L17" s="5"/>
      <c r="M17" s="5"/>
      <c r="N17" s="1"/>
      <c r="Q17" t="s">
        <v>58</v>
      </c>
      <c r="R17" t="s">
        <v>52</v>
      </c>
    </row>
    <row r="18" spans="2:18" ht="31.5" x14ac:dyDescent="0.25">
      <c r="B18" s="16" t="s">
        <v>31</v>
      </c>
      <c r="C18" s="20">
        <f>C37</f>
        <v>39.126755555555555</v>
      </c>
      <c r="D18" s="20">
        <f>D37</f>
        <v>39.111111111111114</v>
      </c>
      <c r="E18" s="9"/>
      <c r="F18" s="9"/>
      <c r="G18" s="5"/>
      <c r="H18" s="5"/>
      <c r="I18" s="5"/>
      <c r="J18" s="5"/>
      <c r="K18" s="5"/>
      <c r="L18" s="5"/>
      <c r="M18" s="5"/>
      <c r="N18" s="1"/>
      <c r="P18" s="15" t="s">
        <v>50</v>
      </c>
      <c r="Q18" s="20">
        <v>0</v>
      </c>
      <c r="R18">
        <f>RADIANS(Q18)</f>
        <v>0</v>
      </c>
    </row>
    <row r="19" spans="2:18" ht="20.25" x14ac:dyDescent="0.25">
      <c r="B19" s="13"/>
      <c r="C19" s="19"/>
      <c r="D19" s="19"/>
      <c r="E19" s="9"/>
      <c r="F19" s="9"/>
      <c r="G19" s="5"/>
      <c r="H19" s="5"/>
      <c r="I19" s="5"/>
      <c r="J19" s="5"/>
      <c r="K19" s="5"/>
      <c r="L19" s="5"/>
      <c r="M19" s="5"/>
      <c r="N19" s="1"/>
      <c r="P19" t="s">
        <v>55</v>
      </c>
      <c r="Q19" s="24">
        <f>(R18+1/2*D56)</f>
        <v>0.73303828583761843</v>
      </c>
    </row>
    <row r="20" spans="2:18" ht="33.75" x14ac:dyDescent="0.25">
      <c r="B20" s="16" t="s">
        <v>40</v>
      </c>
      <c r="C20" s="20">
        <f>C38</f>
        <v>2296.3545004562961</v>
      </c>
      <c r="D20" s="20">
        <f>D38</f>
        <v>2294.5185185185187</v>
      </c>
      <c r="E20" s="9"/>
      <c r="F20" s="9"/>
      <c r="G20" s="5"/>
      <c r="H20" s="5"/>
      <c r="I20" s="5"/>
      <c r="J20" s="5"/>
      <c r="K20" s="5"/>
      <c r="L20" s="5"/>
      <c r="M20" s="5"/>
      <c r="N20" s="1"/>
      <c r="P20" t="s">
        <v>56</v>
      </c>
      <c r="Q20">
        <f>(R18+1/2*(1/2*D56))</f>
        <v>0.36651914291880922</v>
      </c>
    </row>
    <row r="21" spans="2:18" ht="20.25" x14ac:dyDescent="0.25">
      <c r="B21" s="13"/>
      <c r="C21" s="19"/>
      <c r="D21" s="13"/>
      <c r="E21" s="9"/>
      <c r="F21" s="9"/>
      <c r="G21" s="5"/>
      <c r="H21" s="5"/>
      <c r="I21" s="5"/>
      <c r="J21" s="5"/>
      <c r="K21" s="5"/>
      <c r="L21" s="5"/>
      <c r="M21" s="5"/>
      <c r="N21" s="1"/>
      <c r="P21" t="s">
        <v>57</v>
      </c>
      <c r="Q21">
        <f>IF(R18&lt;=0.734,R18+1/2*D56,R18-1/2*D56)</f>
        <v>0.73303828583761843</v>
      </c>
    </row>
    <row r="22" spans="2:18" ht="20.25" x14ac:dyDescent="0.25">
      <c r="B22" s="13"/>
      <c r="C22" s="19"/>
      <c r="D22" s="15" t="s">
        <v>42</v>
      </c>
      <c r="E22" s="9"/>
      <c r="F22" s="9"/>
      <c r="G22" s="5"/>
      <c r="H22" s="5"/>
      <c r="I22" s="5"/>
      <c r="J22" s="5"/>
      <c r="K22" s="5"/>
      <c r="L22" s="5"/>
      <c r="M22" s="5"/>
      <c r="N22" s="1"/>
    </row>
    <row r="23" spans="2:18" ht="31.5" x14ac:dyDescent="0.25">
      <c r="B23" s="15" t="s">
        <v>30</v>
      </c>
      <c r="C23" s="21">
        <v>87</v>
      </c>
      <c r="D23" s="20">
        <f>C53</f>
        <v>9.1519999999999975</v>
      </c>
      <c r="E23" s="9"/>
      <c r="F23" s="9"/>
      <c r="G23" s="5"/>
      <c r="H23" s="5"/>
      <c r="I23" s="5"/>
      <c r="J23" s="5"/>
      <c r="K23" s="5"/>
      <c r="L23" s="5"/>
      <c r="M23" s="5"/>
      <c r="N23" s="1"/>
    </row>
    <row r="24" spans="2:18" ht="31.5" x14ac:dyDescent="0.25">
      <c r="B24" s="3"/>
      <c r="C24" s="3"/>
      <c r="D24" s="15" t="s">
        <v>44</v>
      </c>
      <c r="E24" s="3"/>
      <c r="F24" s="3"/>
      <c r="G24" s="5"/>
      <c r="H24" s="5"/>
      <c r="I24" s="5"/>
      <c r="J24" s="5"/>
      <c r="K24" s="5"/>
      <c r="L24" s="5"/>
      <c r="M24" s="5"/>
      <c r="N24" s="1"/>
      <c r="R24" t="s">
        <v>17</v>
      </c>
    </row>
    <row r="25" spans="2:18" ht="31.5" x14ac:dyDescent="0.25">
      <c r="B25" s="15" t="s">
        <v>43</v>
      </c>
      <c r="C25" s="21">
        <v>90</v>
      </c>
      <c r="D25" s="20">
        <f>D16-((C25*D36)/100)</f>
        <v>5.8666666666666742</v>
      </c>
      <c r="E25" s="3"/>
      <c r="F25" s="3"/>
      <c r="G25" s="5"/>
      <c r="H25" s="5"/>
      <c r="I25" s="5"/>
      <c r="J25" s="5"/>
      <c r="K25" s="5"/>
      <c r="L25" s="5"/>
      <c r="M25" s="5"/>
      <c r="N25" s="1"/>
      <c r="P25" t="s">
        <v>54</v>
      </c>
      <c r="Q25">
        <f>D10/(COS(Q19))</f>
        <v>53.82530918425504</v>
      </c>
      <c r="R25" s="24">
        <f>(C29*Q25*100)/(C30*C33)</f>
        <v>1.442686162346017</v>
      </c>
    </row>
    <row r="26" spans="2:18" x14ac:dyDescent="0.25">
      <c r="B26" s="3"/>
      <c r="C26" s="3"/>
      <c r="D26" s="3"/>
      <c r="E26" s="3"/>
      <c r="F26" s="3"/>
      <c r="G26" s="5"/>
      <c r="H26" s="5"/>
      <c r="I26" s="5"/>
      <c r="J26" s="5"/>
      <c r="K26" s="5"/>
      <c r="L26" s="5"/>
      <c r="M26" s="5"/>
      <c r="N26" s="1"/>
      <c r="P26" t="s">
        <v>56</v>
      </c>
      <c r="Q26">
        <f>D10/(COS(Q20))</f>
        <v>42.845799745481159</v>
      </c>
      <c r="R26">
        <f>(C29*Q26*100)/(C30*C33)</f>
        <v>1.1484010653028576</v>
      </c>
    </row>
    <row r="27" spans="2:18" x14ac:dyDescent="0.25">
      <c r="B27" s="17" t="s">
        <v>29</v>
      </c>
      <c r="C27" s="3"/>
      <c r="D27" s="3"/>
      <c r="E27" s="3"/>
      <c r="F27" s="3"/>
      <c r="G27" s="5"/>
      <c r="H27" s="5"/>
      <c r="I27" s="5"/>
      <c r="J27" s="5"/>
      <c r="K27" s="5"/>
      <c r="L27" s="5"/>
      <c r="M27" s="5"/>
      <c r="N27" s="1"/>
      <c r="P27" t="s">
        <v>57</v>
      </c>
      <c r="Q27">
        <f>D10/(COS(Q21))</f>
        <v>53.82530918425504</v>
      </c>
      <c r="R27">
        <f>(C29*Q27*100)/(C30*C33)</f>
        <v>1.442686162346017</v>
      </c>
    </row>
    <row r="28" spans="2:18" x14ac:dyDescent="0.25">
      <c r="B28" s="3"/>
      <c r="C28" s="3"/>
      <c r="D28" s="3"/>
      <c r="E28" s="3"/>
      <c r="F28" s="3"/>
      <c r="G28" s="5"/>
      <c r="H28" s="5"/>
      <c r="I28" s="5"/>
      <c r="J28" s="5"/>
      <c r="K28" s="5"/>
      <c r="L28" s="5"/>
      <c r="M28" s="5"/>
      <c r="N28" s="1"/>
    </row>
    <row r="29" spans="2:18" x14ac:dyDescent="0.25">
      <c r="B29" s="25" t="s">
        <v>28</v>
      </c>
      <c r="C29" s="25">
        <v>13.2</v>
      </c>
      <c r="D29" s="25"/>
      <c r="E29" s="26" t="s">
        <v>27</v>
      </c>
      <c r="F29" s="10"/>
      <c r="G29" s="10"/>
      <c r="H29" s="10"/>
      <c r="I29" s="5"/>
      <c r="J29" s="5"/>
      <c r="K29" s="5"/>
      <c r="L29" s="5"/>
      <c r="M29" s="5"/>
      <c r="N29" s="1"/>
    </row>
    <row r="30" spans="2:18" x14ac:dyDescent="0.25">
      <c r="B30" s="25" t="s">
        <v>60</v>
      </c>
      <c r="C30" s="25">
        <v>9</v>
      </c>
      <c r="D30" s="25">
        <v>24.4</v>
      </c>
      <c r="E30" s="26" t="s">
        <v>26</v>
      </c>
      <c r="F30" s="10"/>
      <c r="G30" s="10"/>
      <c r="H30" s="10"/>
      <c r="I30" s="5"/>
      <c r="J30" s="5"/>
      <c r="K30" s="5"/>
      <c r="L30" s="5"/>
      <c r="M30" s="5"/>
      <c r="N30" s="1"/>
    </row>
    <row r="31" spans="2:18" x14ac:dyDescent="0.25">
      <c r="B31" s="25" t="s">
        <v>25</v>
      </c>
      <c r="C31" s="25">
        <f>C30/1000</f>
        <v>8.9999999999999993E-3</v>
      </c>
      <c r="D31" s="25">
        <f>D30/1000</f>
        <v>2.4399999999999998E-2</v>
      </c>
      <c r="E31" s="26" t="s">
        <v>24</v>
      </c>
      <c r="F31" s="10"/>
      <c r="G31" s="10"/>
      <c r="H31" s="10"/>
      <c r="I31" s="5"/>
      <c r="J31" s="5"/>
      <c r="K31" s="5"/>
      <c r="L31" s="5"/>
      <c r="M31" s="5"/>
      <c r="N31" s="1"/>
    </row>
    <row r="32" spans="2:18" x14ac:dyDescent="0.25">
      <c r="B32" s="14" t="s">
        <v>23</v>
      </c>
      <c r="C32" s="14">
        <f>C39*D31*10</f>
        <v>40.015999999999998</v>
      </c>
      <c r="D32" s="14">
        <f>D10</f>
        <v>40</v>
      </c>
      <c r="E32" s="10" t="s">
        <v>22</v>
      </c>
      <c r="F32" s="10"/>
      <c r="G32" s="11"/>
      <c r="H32" s="11"/>
      <c r="I32" s="6"/>
      <c r="J32" s="6"/>
      <c r="K32" s="6"/>
      <c r="L32" s="6"/>
      <c r="M32" s="6"/>
      <c r="N32" s="1"/>
    </row>
    <row r="33" spans="2:14" x14ac:dyDescent="0.25">
      <c r="B33" s="25" t="s">
        <v>21</v>
      </c>
      <c r="C33" s="25">
        <v>5472</v>
      </c>
      <c r="D33" s="25"/>
      <c r="E33" s="26" t="s">
        <v>20</v>
      </c>
      <c r="F33" s="10"/>
      <c r="G33" s="11"/>
      <c r="H33" s="12"/>
      <c r="I33" s="7"/>
      <c r="J33" s="7"/>
      <c r="K33" s="7"/>
      <c r="L33" s="7"/>
      <c r="M33" s="7"/>
      <c r="N33" s="1"/>
    </row>
    <row r="34" spans="2:14" x14ac:dyDescent="0.25">
      <c r="B34" s="25" t="s">
        <v>19</v>
      </c>
      <c r="C34" s="25">
        <v>3648</v>
      </c>
      <c r="D34" s="25"/>
      <c r="E34" s="26" t="s">
        <v>18</v>
      </c>
      <c r="F34" s="10"/>
      <c r="G34" s="10"/>
      <c r="H34" s="10"/>
      <c r="I34" s="5"/>
      <c r="J34" s="5"/>
      <c r="K34" s="5"/>
      <c r="L34" s="8"/>
      <c r="M34" s="5"/>
      <c r="N34" s="1"/>
    </row>
    <row r="35" spans="2:14" x14ac:dyDescent="0.25">
      <c r="B35" s="14" t="s">
        <v>17</v>
      </c>
      <c r="C35" s="14">
        <f>(C29*C32*100)/(C30*C33)</f>
        <v>1.0725536062378167</v>
      </c>
      <c r="D35" s="14">
        <f>(C29*D32*100)/(C30*C33)</f>
        <v>1.0721247563352827</v>
      </c>
      <c r="E35" s="10" t="s">
        <v>16</v>
      </c>
      <c r="F35" s="10"/>
      <c r="G35" s="10"/>
      <c r="H35" s="10"/>
      <c r="I35" s="5"/>
      <c r="J35" s="5"/>
      <c r="K35" s="5"/>
      <c r="L35" s="5"/>
      <c r="M35" s="5"/>
      <c r="N35" s="1"/>
    </row>
    <row r="36" spans="2:14" x14ac:dyDescent="0.25">
      <c r="B36" s="14" t="s">
        <v>15</v>
      </c>
      <c r="C36" s="14">
        <f>(C35*C33)/100</f>
        <v>58.690133333333335</v>
      </c>
      <c r="D36" s="14">
        <f>(D35*C33)/100</f>
        <v>58.666666666666671</v>
      </c>
      <c r="E36" s="10" t="s">
        <v>14</v>
      </c>
      <c r="F36" s="10"/>
      <c r="G36" s="10"/>
      <c r="H36" s="10"/>
      <c r="I36" s="5"/>
      <c r="J36" s="5"/>
      <c r="K36" s="5"/>
      <c r="L36" s="5"/>
      <c r="M36" s="5"/>
      <c r="N36" s="1"/>
    </row>
    <row r="37" spans="2:14" x14ac:dyDescent="0.25">
      <c r="B37" s="14" t="s">
        <v>41</v>
      </c>
      <c r="C37" s="14">
        <f>(C35*C34)/100</f>
        <v>39.126755555555555</v>
      </c>
      <c r="D37" s="14">
        <f>(D35*C34)/100</f>
        <v>39.111111111111114</v>
      </c>
      <c r="E37" s="10" t="s">
        <v>13</v>
      </c>
      <c r="F37" s="10"/>
      <c r="G37" s="10"/>
      <c r="H37" s="10"/>
      <c r="I37" s="5"/>
      <c r="J37" s="5"/>
      <c r="K37" s="5"/>
      <c r="L37" s="5"/>
      <c r="M37" s="5"/>
      <c r="N37" s="1"/>
    </row>
    <row r="38" spans="2:14" x14ac:dyDescent="0.25">
      <c r="B38" s="14" t="s">
        <v>12</v>
      </c>
      <c r="C38" s="14">
        <f>C36*C37</f>
        <v>2296.3545004562961</v>
      </c>
      <c r="D38" s="14">
        <f>D36*D37</f>
        <v>2294.5185185185187</v>
      </c>
      <c r="E38" s="10" t="s">
        <v>11</v>
      </c>
      <c r="F38" s="10"/>
      <c r="G38" s="10"/>
      <c r="H38" s="10"/>
      <c r="I38" s="5"/>
      <c r="J38" s="5"/>
      <c r="K38" s="5"/>
      <c r="L38" s="5"/>
      <c r="M38" s="5"/>
      <c r="N38" s="1"/>
    </row>
    <row r="39" spans="2:14" x14ac:dyDescent="0.25">
      <c r="B39" s="14" t="s">
        <v>10</v>
      </c>
      <c r="C39" s="14">
        <f>C7</f>
        <v>164</v>
      </c>
      <c r="D39" s="14">
        <f>(1/(D31/D32))/10</f>
        <v>163.9344262295082</v>
      </c>
      <c r="E39" s="10"/>
      <c r="F39" s="10"/>
      <c r="G39" s="10"/>
      <c r="H39" s="10"/>
      <c r="I39" s="5"/>
      <c r="J39" s="5"/>
      <c r="K39" s="5"/>
      <c r="L39" s="5"/>
      <c r="M39" s="5"/>
      <c r="N39" s="1"/>
    </row>
    <row r="40" spans="2:14" x14ac:dyDescent="0.25">
      <c r="B40" s="14"/>
      <c r="C40" s="14"/>
      <c r="D40" s="14">
        <v>160000</v>
      </c>
      <c r="E40" s="10"/>
      <c r="F40" s="10"/>
      <c r="G40" s="10"/>
      <c r="H40" s="10"/>
      <c r="I40" s="5"/>
      <c r="J40" s="5"/>
      <c r="K40" s="5"/>
      <c r="L40" s="5"/>
      <c r="M40" s="5"/>
      <c r="N40" s="1"/>
    </row>
    <row r="41" spans="2:14" x14ac:dyDescent="0.25">
      <c r="B41" s="14" t="s">
        <v>9</v>
      </c>
      <c r="C41" s="14">
        <v>3000</v>
      </c>
      <c r="D41" s="14"/>
      <c r="E41" s="10"/>
      <c r="F41" s="10"/>
      <c r="G41" s="10"/>
      <c r="H41" s="10"/>
      <c r="I41" s="5"/>
      <c r="J41" s="5"/>
      <c r="K41" s="5"/>
      <c r="L41" s="5"/>
      <c r="M41" s="5"/>
      <c r="N41" s="1"/>
    </row>
    <row r="42" spans="2:14" x14ac:dyDescent="0.25">
      <c r="B42" s="14" t="s">
        <v>8</v>
      </c>
      <c r="C42" s="14">
        <f>C41/C37</f>
        <v>76.673875904183788</v>
      </c>
      <c r="D42" s="14">
        <f>C41/D38</f>
        <v>1.3074638429752066</v>
      </c>
      <c r="E42" s="10"/>
      <c r="F42" s="10"/>
      <c r="G42" s="10"/>
      <c r="H42" s="10"/>
      <c r="I42" s="5"/>
      <c r="J42" s="5"/>
      <c r="K42" s="5"/>
      <c r="L42" s="5"/>
      <c r="M42" s="5"/>
      <c r="N42" s="1"/>
    </row>
    <row r="43" spans="2:14" x14ac:dyDescent="0.25">
      <c r="B43" s="14"/>
      <c r="C43" s="14"/>
      <c r="D43" s="14"/>
      <c r="E43" s="10"/>
      <c r="F43" s="10"/>
      <c r="G43" s="10"/>
      <c r="H43" s="10"/>
      <c r="I43" s="5"/>
      <c r="J43" s="5"/>
      <c r="K43" s="5"/>
      <c r="L43" s="5"/>
      <c r="M43" s="5"/>
      <c r="N43" s="1"/>
    </row>
    <row r="44" spans="2:14" x14ac:dyDescent="0.25">
      <c r="B44" s="14"/>
      <c r="C44" s="14"/>
      <c r="D44" s="14"/>
      <c r="E44" s="10"/>
      <c r="F44" s="10"/>
      <c r="G44" s="10"/>
      <c r="H44" s="10"/>
      <c r="I44" s="5"/>
      <c r="J44" s="5"/>
      <c r="K44" s="5"/>
      <c r="L44" s="5"/>
      <c r="M44" s="5"/>
      <c r="N44" s="1"/>
    </row>
    <row r="45" spans="2:14" x14ac:dyDescent="0.25">
      <c r="B45" s="14" t="s">
        <v>1</v>
      </c>
      <c r="C45" s="14">
        <v>15</v>
      </c>
      <c r="D45" s="14" t="s">
        <v>0</v>
      </c>
      <c r="E45" s="10"/>
      <c r="F45" s="10"/>
      <c r="G45" s="10"/>
      <c r="H45" s="10"/>
      <c r="I45" s="5"/>
      <c r="J45" s="5"/>
      <c r="K45" s="5"/>
      <c r="L45" s="5"/>
      <c r="M45" s="5"/>
      <c r="N45" s="1"/>
    </row>
    <row r="46" spans="2:14" x14ac:dyDescent="0.25">
      <c r="B46" s="14" t="s">
        <v>3</v>
      </c>
      <c r="C46" s="14">
        <v>2</v>
      </c>
      <c r="D46" s="14" t="s">
        <v>2</v>
      </c>
      <c r="E46" s="10"/>
      <c r="F46" s="10"/>
      <c r="G46" s="10"/>
      <c r="H46" s="10"/>
      <c r="I46" s="5"/>
      <c r="J46" s="5"/>
      <c r="K46" s="5"/>
      <c r="L46" s="5"/>
      <c r="M46" s="5"/>
      <c r="N46" s="1"/>
    </row>
    <row r="47" spans="2:14" x14ac:dyDescent="0.25">
      <c r="B47" s="14" t="s">
        <v>5</v>
      </c>
      <c r="C47" s="14">
        <f>((C45*1000)*C46)/3600</f>
        <v>8.3333333333333339</v>
      </c>
      <c r="D47" s="14" t="s">
        <v>4</v>
      </c>
      <c r="E47" s="10"/>
      <c r="F47" s="10"/>
      <c r="G47" s="10"/>
      <c r="H47" s="10"/>
      <c r="I47" s="5"/>
      <c r="J47" s="5"/>
      <c r="K47" s="5"/>
      <c r="L47" s="5"/>
      <c r="M47" s="5"/>
      <c r="N47" s="1"/>
    </row>
    <row r="48" spans="2:14" x14ac:dyDescent="0.25">
      <c r="B48" s="14" t="s">
        <v>7</v>
      </c>
      <c r="C48" s="14">
        <f>100-(100*C47)/D37</f>
        <v>78.693181818181813</v>
      </c>
      <c r="D48" s="14" t="s">
        <v>6</v>
      </c>
      <c r="E48" s="10"/>
      <c r="F48" s="10"/>
      <c r="G48" s="10"/>
      <c r="H48" s="10"/>
      <c r="I48" s="5"/>
      <c r="J48" s="5"/>
      <c r="K48" s="5"/>
      <c r="L48" s="5"/>
      <c r="M48" s="5"/>
      <c r="N48" s="1"/>
    </row>
    <row r="49" spans="2:14" x14ac:dyDescent="0.25">
      <c r="B49" s="14"/>
      <c r="C49" s="14"/>
      <c r="D49" s="14"/>
      <c r="E49" s="10"/>
      <c r="F49" s="10"/>
      <c r="G49" s="10"/>
      <c r="H49" s="10"/>
      <c r="I49" s="5"/>
      <c r="J49" s="5"/>
      <c r="K49" s="5"/>
      <c r="L49" s="5"/>
      <c r="M49" s="5"/>
      <c r="N49" s="1"/>
    </row>
    <row r="50" spans="2:14" x14ac:dyDescent="0.25">
      <c r="B50" s="14" t="s">
        <v>7</v>
      </c>
      <c r="C50" s="14">
        <f>C23</f>
        <v>87</v>
      </c>
      <c r="D50" s="14" t="s">
        <v>6</v>
      </c>
      <c r="E50" s="10"/>
      <c r="F50" s="10"/>
      <c r="G50" s="10"/>
      <c r="H50" s="10"/>
      <c r="I50" s="5"/>
      <c r="J50" s="5"/>
      <c r="K50" s="5"/>
      <c r="L50" s="5"/>
      <c r="M50" s="5"/>
      <c r="N50" s="1"/>
    </row>
    <row r="51" spans="2:14" x14ac:dyDescent="0.25">
      <c r="B51" s="14" t="s">
        <v>5</v>
      </c>
      <c r="C51" s="14">
        <f>D37-(D37*C50)/100</f>
        <v>5.0844444444444434</v>
      </c>
      <c r="D51" s="14" t="s">
        <v>4</v>
      </c>
      <c r="E51" s="10"/>
      <c r="F51" s="10"/>
      <c r="G51" s="10"/>
      <c r="H51" s="10"/>
      <c r="I51" s="5"/>
      <c r="J51" s="5"/>
      <c r="K51" s="5"/>
      <c r="L51" s="5"/>
      <c r="M51" s="5"/>
      <c r="N51" s="1"/>
    </row>
    <row r="52" spans="2:14" x14ac:dyDescent="0.25">
      <c r="B52" s="14" t="s">
        <v>3</v>
      </c>
      <c r="C52" s="14">
        <v>2</v>
      </c>
      <c r="D52" s="14" t="s">
        <v>2</v>
      </c>
      <c r="E52" s="10"/>
      <c r="F52" s="10"/>
      <c r="G52" s="10"/>
      <c r="H52" s="10"/>
      <c r="I52" s="5"/>
      <c r="J52" s="5"/>
      <c r="K52" s="5"/>
      <c r="L52" s="5"/>
      <c r="M52" s="5"/>
      <c r="N52" s="1"/>
    </row>
    <row r="53" spans="2:14" x14ac:dyDescent="0.25">
      <c r="B53" s="14" t="s">
        <v>1</v>
      </c>
      <c r="C53" s="14">
        <f>((C51*3600)/C52)/1000</f>
        <v>9.1519999999999975</v>
      </c>
      <c r="D53" s="14" t="s">
        <v>0</v>
      </c>
      <c r="E53" s="10"/>
      <c r="F53" s="10"/>
      <c r="G53" s="10"/>
      <c r="H53" s="10"/>
      <c r="I53" s="5"/>
      <c r="J53" s="5"/>
      <c r="K53" s="5"/>
      <c r="L53" s="5"/>
      <c r="M53" s="5"/>
      <c r="N53" s="1"/>
    </row>
    <row r="55" spans="2:14" x14ac:dyDescent="0.25">
      <c r="D55" s="14" t="s">
        <v>53</v>
      </c>
    </row>
    <row r="56" spans="2:14" x14ac:dyDescent="0.25">
      <c r="B56" s="14" t="s">
        <v>51</v>
      </c>
      <c r="C56" s="14">
        <v>84</v>
      </c>
      <c r="D56">
        <f>RADIANS(C56)</f>
        <v>1.4660765716752369</v>
      </c>
    </row>
  </sheetData>
  <mergeCells count="2">
    <mergeCell ref="A1:N4"/>
    <mergeCell ref="B12:D12"/>
  </mergeCells>
  <hyperlinks>
    <hyperlink ref="E35" r:id="rId1" display="= Ground Sampling Distance (centimeters/pixel)" xr:uid="{00000000-0004-0000-0300-000000000000}"/>
  </hyperlinks>
  <pageMargins left="0.7" right="0.7" top="0.75" bottom="0.75" header="0.3" footer="0.3"/>
  <pageSetup paperSize="9" orientation="portrait" horizontalDpi="300" verticalDpi="30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8B8D-9DA5-472B-9DD9-1F5283DE3186}">
  <dimension ref="B1:Q35"/>
  <sheetViews>
    <sheetView workbookViewId="0">
      <selection activeCell="J20" sqref="J20"/>
    </sheetView>
  </sheetViews>
  <sheetFormatPr defaultRowHeight="15" x14ac:dyDescent="0.25"/>
  <sheetData>
    <row r="1" spans="2:17" x14ac:dyDescent="0.25">
      <c r="C1" s="24"/>
      <c r="D1" s="24" t="s">
        <v>73</v>
      </c>
      <c r="E1" s="24"/>
      <c r="F1" s="24"/>
      <c r="G1" s="24"/>
      <c r="O1">
        <v>35</v>
      </c>
    </row>
    <row r="2" spans="2:17" x14ac:dyDescent="0.25">
      <c r="B2" t="s">
        <v>74</v>
      </c>
      <c r="C2" s="24" t="s">
        <v>75</v>
      </c>
      <c r="D2" s="24" t="s">
        <v>76</v>
      </c>
      <c r="E2" s="24" t="s">
        <v>77</v>
      </c>
      <c r="F2" s="24" t="s">
        <v>78</v>
      </c>
      <c r="G2" s="24" t="s">
        <v>79</v>
      </c>
      <c r="O2">
        <v>4.4000000000000004</v>
      </c>
      <c r="P2">
        <v>1.26</v>
      </c>
      <c r="Q2">
        <f>35*1.26/4.4</f>
        <v>10.022727272727272</v>
      </c>
    </row>
    <row r="3" spans="2:17" x14ac:dyDescent="0.25">
      <c r="B3">
        <v>10</v>
      </c>
      <c r="C3" s="24">
        <f>B3*0.025/2</f>
        <v>0.125</v>
      </c>
      <c r="D3" s="24">
        <f>35*C3/4.4*10</f>
        <v>9.9431818181818183</v>
      </c>
      <c r="E3" s="24">
        <f>8.8*C3/2.4*10</f>
        <v>4.5833333333333339</v>
      </c>
      <c r="F3" s="24">
        <f>25*C3/2.4*10</f>
        <v>13.020833333333336</v>
      </c>
      <c r="G3" s="24">
        <f>18*C3/2.4*10</f>
        <v>9.375</v>
      </c>
    </row>
    <row r="4" spans="2:17" x14ac:dyDescent="0.25">
      <c r="B4">
        <v>20</v>
      </c>
      <c r="C4" s="24">
        <f t="shared" ref="C4:C15" si="0">B4*0.025/2</f>
        <v>0.25</v>
      </c>
      <c r="D4" s="24">
        <f t="shared" ref="D4:D15" si="1">35*C4/4.4*10</f>
        <v>19.886363636363637</v>
      </c>
      <c r="E4" s="24">
        <f t="shared" ref="E4:E15" si="2">8.8*C4/2.4*10</f>
        <v>9.1666666666666679</v>
      </c>
      <c r="F4" s="24">
        <f t="shared" ref="F4:F15" si="3">25*C4/2.4*10</f>
        <v>26.041666666666671</v>
      </c>
      <c r="G4" s="24">
        <f t="shared" ref="G4:G15" si="4">18*C4/2.4*10</f>
        <v>18.75</v>
      </c>
    </row>
    <row r="5" spans="2:17" x14ac:dyDescent="0.25">
      <c r="B5">
        <v>50</v>
      </c>
      <c r="C5" s="24">
        <f t="shared" si="0"/>
        <v>0.625</v>
      </c>
      <c r="D5" s="24">
        <f t="shared" si="1"/>
        <v>49.715909090909079</v>
      </c>
      <c r="E5" s="24">
        <f t="shared" si="2"/>
        <v>22.916666666666671</v>
      </c>
      <c r="F5" s="24">
        <f t="shared" si="3"/>
        <v>65.104166666666671</v>
      </c>
      <c r="G5" s="24">
        <f t="shared" si="4"/>
        <v>46.875</v>
      </c>
    </row>
    <row r="6" spans="2:17" x14ac:dyDescent="0.25">
      <c r="B6">
        <v>100</v>
      </c>
      <c r="C6" s="24">
        <f t="shared" si="0"/>
        <v>1.25</v>
      </c>
      <c r="D6" s="24">
        <f t="shared" si="1"/>
        <v>99.431818181818159</v>
      </c>
      <c r="E6" s="24">
        <f t="shared" si="2"/>
        <v>45.833333333333343</v>
      </c>
      <c r="F6" s="31">
        <f t="shared" si="3"/>
        <v>130.20833333333334</v>
      </c>
      <c r="G6" s="24">
        <f t="shared" si="4"/>
        <v>93.75</v>
      </c>
      <c r="H6">
        <v>13</v>
      </c>
    </row>
    <row r="7" spans="2:17" x14ac:dyDescent="0.25">
      <c r="B7">
        <v>200</v>
      </c>
      <c r="C7" s="24">
        <f t="shared" si="0"/>
        <v>2.5</v>
      </c>
      <c r="D7" s="31">
        <f t="shared" si="1"/>
        <v>198.86363636363632</v>
      </c>
      <c r="E7" s="24">
        <f t="shared" si="2"/>
        <v>91.666666666666686</v>
      </c>
      <c r="F7" s="31">
        <f t="shared" si="3"/>
        <v>260.41666666666669</v>
      </c>
      <c r="G7" s="31">
        <f t="shared" si="4"/>
        <v>187.5</v>
      </c>
      <c r="H7">
        <v>5472</v>
      </c>
    </row>
    <row r="8" spans="2:17" x14ac:dyDescent="0.25">
      <c r="B8">
        <v>300</v>
      </c>
      <c r="C8" s="24">
        <f t="shared" si="0"/>
        <v>3.75</v>
      </c>
      <c r="D8" s="31">
        <f t="shared" si="1"/>
        <v>298.2954545454545</v>
      </c>
      <c r="E8" s="31">
        <f t="shared" si="2"/>
        <v>137.5</v>
      </c>
      <c r="F8" s="31">
        <f t="shared" si="3"/>
        <v>390.625</v>
      </c>
      <c r="G8" s="31">
        <f t="shared" si="4"/>
        <v>281.25</v>
      </c>
      <c r="H8">
        <f>H6/H7</f>
        <v>2.3757309941520467E-3</v>
      </c>
    </row>
    <row r="9" spans="2:17" x14ac:dyDescent="0.25">
      <c r="B9">
        <v>400</v>
      </c>
      <c r="C9" s="24">
        <f t="shared" si="0"/>
        <v>5</v>
      </c>
      <c r="D9" s="31">
        <f t="shared" si="1"/>
        <v>397.72727272727263</v>
      </c>
      <c r="E9" s="31">
        <f t="shared" si="2"/>
        <v>183.33333333333337</v>
      </c>
      <c r="F9" s="31">
        <f t="shared" si="3"/>
        <v>520.83333333333337</v>
      </c>
      <c r="G9" s="31">
        <f t="shared" si="4"/>
        <v>375</v>
      </c>
    </row>
    <row r="10" spans="2:17" x14ac:dyDescent="0.25">
      <c r="B10">
        <v>500</v>
      </c>
      <c r="C10" s="24">
        <f t="shared" si="0"/>
        <v>6.25</v>
      </c>
      <c r="D10" s="31">
        <f t="shared" si="1"/>
        <v>497.15909090909088</v>
      </c>
      <c r="E10" s="31">
        <f t="shared" si="2"/>
        <v>229.16666666666671</v>
      </c>
      <c r="F10" s="31">
        <f t="shared" si="3"/>
        <v>651.04166666666674</v>
      </c>
      <c r="G10" s="31">
        <f t="shared" si="4"/>
        <v>468.75</v>
      </c>
    </row>
    <row r="11" spans="2:17" x14ac:dyDescent="0.25">
      <c r="B11">
        <v>600</v>
      </c>
      <c r="C11" s="24">
        <f t="shared" si="0"/>
        <v>7.5</v>
      </c>
      <c r="D11" s="31">
        <f t="shared" si="1"/>
        <v>596.59090909090901</v>
      </c>
      <c r="E11" s="31">
        <f t="shared" si="2"/>
        <v>275</v>
      </c>
      <c r="F11" s="31">
        <f t="shared" si="3"/>
        <v>781.25</v>
      </c>
      <c r="G11" s="31">
        <f t="shared" si="4"/>
        <v>562.5</v>
      </c>
    </row>
    <row r="12" spans="2:17" x14ac:dyDescent="0.25">
      <c r="B12">
        <v>700</v>
      </c>
      <c r="C12" s="24">
        <f t="shared" si="0"/>
        <v>8.75</v>
      </c>
      <c r="D12" s="31">
        <f t="shared" si="1"/>
        <v>696.02272727272725</v>
      </c>
      <c r="E12" s="31">
        <f t="shared" si="2"/>
        <v>320.83333333333337</v>
      </c>
      <c r="F12" s="31">
        <f t="shared" si="3"/>
        <v>911.45833333333348</v>
      </c>
      <c r="G12" s="31">
        <f t="shared" si="4"/>
        <v>656.25</v>
      </c>
    </row>
    <row r="13" spans="2:17" x14ac:dyDescent="0.25">
      <c r="B13">
        <v>800</v>
      </c>
      <c r="C13" s="24">
        <f t="shared" si="0"/>
        <v>10</v>
      </c>
      <c r="D13" s="31">
        <f t="shared" si="1"/>
        <v>795.45454545454527</v>
      </c>
      <c r="E13" s="31">
        <f t="shared" si="2"/>
        <v>366.66666666666674</v>
      </c>
      <c r="F13" s="31">
        <f t="shared" si="3"/>
        <v>1041.6666666666667</v>
      </c>
      <c r="G13" s="31">
        <f t="shared" si="4"/>
        <v>750</v>
      </c>
    </row>
    <row r="14" spans="2:17" x14ac:dyDescent="0.25">
      <c r="B14">
        <v>900</v>
      </c>
      <c r="C14" s="24">
        <f t="shared" si="0"/>
        <v>11.25</v>
      </c>
      <c r="D14" s="31">
        <f t="shared" si="1"/>
        <v>894.88636363636363</v>
      </c>
      <c r="E14" s="31">
        <f t="shared" si="2"/>
        <v>412.50000000000006</v>
      </c>
      <c r="F14" s="31">
        <f t="shared" si="3"/>
        <v>1171.875</v>
      </c>
      <c r="G14" s="31">
        <f t="shared" si="4"/>
        <v>843.75</v>
      </c>
    </row>
    <row r="15" spans="2:17" x14ac:dyDescent="0.25">
      <c r="B15">
        <v>1000</v>
      </c>
      <c r="C15" s="24">
        <f t="shared" si="0"/>
        <v>12.5</v>
      </c>
      <c r="D15" s="31">
        <f t="shared" si="1"/>
        <v>994.31818181818176</v>
      </c>
      <c r="E15" s="31">
        <f t="shared" si="2"/>
        <v>458.33333333333343</v>
      </c>
      <c r="F15" s="31">
        <f t="shared" si="3"/>
        <v>1302.0833333333335</v>
      </c>
      <c r="G15" s="31">
        <f t="shared" si="4"/>
        <v>937.5</v>
      </c>
    </row>
    <row r="16" spans="2:17" x14ac:dyDescent="0.25">
      <c r="C16" s="24"/>
      <c r="D16" s="24"/>
      <c r="E16" s="24"/>
      <c r="F16" s="24"/>
      <c r="G16" s="24"/>
    </row>
    <row r="17" spans="3:7" x14ac:dyDescent="0.25">
      <c r="C17" s="24"/>
      <c r="D17" s="24"/>
      <c r="E17" s="24"/>
      <c r="F17" s="24"/>
      <c r="G17" s="24"/>
    </row>
    <row r="18" spans="3:7" x14ac:dyDescent="0.25">
      <c r="C18" s="24"/>
      <c r="D18" s="24"/>
      <c r="E18" s="24"/>
      <c r="F18" s="24"/>
      <c r="G18" s="24"/>
    </row>
    <row r="19" spans="3:7" x14ac:dyDescent="0.25">
      <c r="C19" s="24"/>
      <c r="D19" s="24"/>
      <c r="E19" s="24"/>
      <c r="F19" s="24"/>
      <c r="G19" s="24"/>
    </row>
    <row r="20" spans="3:7" x14ac:dyDescent="0.25">
      <c r="C20" s="24"/>
      <c r="D20" s="24"/>
      <c r="E20" s="24"/>
      <c r="F20" s="24"/>
      <c r="G20" s="24"/>
    </row>
    <row r="21" spans="3:7" x14ac:dyDescent="0.25">
      <c r="C21" s="24"/>
      <c r="D21" s="24"/>
      <c r="E21" s="24"/>
      <c r="F21" s="24"/>
      <c r="G21" s="24"/>
    </row>
    <row r="22" spans="3:7" x14ac:dyDescent="0.25">
      <c r="C22" s="24"/>
      <c r="D22" s="24"/>
      <c r="E22" s="24"/>
      <c r="F22" s="24"/>
      <c r="G22" s="24"/>
    </row>
    <row r="23" spans="3:7" x14ac:dyDescent="0.25">
      <c r="C23" s="24"/>
      <c r="D23" s="24"/>
      <c r="E23" s="24"/>
      <c r="F23" s="24"/>
      <c r="G23" s="24"/>
    </row>
    <row r="24" spans="3:7" x14ac:dyDescent="0.25">
      <c r="C24" s="24"/>
      <c r="D24" s="24"/>
      <c r="E24" s="24"/>
      <c r="F24" s="24"/>
      <c r="G24" s="24"/>
    </row>
    <row r="25" spans="3:7" x14ac:dyDescent="0.25">
      <c r="C25" s="24"/>
      <c r="D25" s="24"/>
      <c r="E25" s="24"/>
      <c r="F25" s="24"/>
      <c r="G25" s="24"/>
    </row>
    <row r="26" spans="3:7" x14ac:dyDescent="0.25">
      <c r="C26" s="24"/>
      <c r="D26" s="24"/>
      <c r="E26" s="24"/>
      <c r="F26" s="24"/>
      <c r="G26" s="24"/>
    </row>
    <row r="27" spans="3:7" x14ac:dyDescent="0.25">
      <c r="C27" s="24"/>
      <c r="D27" s="24"/>
      <c r="E27" s="24"/>
      <c r="F27" s="24"/>
      <c r="G27" s="24"/>
    </row>
    <row r="28" spans="3:7" x14ac:dyDescent="0.25">
      <c r="C28" s="24"/>
      <c r="D28" s="24"/>
      <c r="E28" s="24"/>
      <c r="F28" s="24"/>
      <c r="G28" s="24"/>
    </row>
    <row r="29" spans="3:7" x14ac:dyDescent="0.25">
      <c r="C29" s="24"/>
      <c r="D29" s="24"/>
      <c r="E29" s="24"/>
      <c r="F29" s="24"/>
      <c r="G29" s="24"/>
    </row>
    <row r="30" spans="3:7" x14ac:dyDescent="0.25">
      <c r="C30" s="24"/>
      <c r="D30" s="24"/>
      <c r="E30" s="24"/>
      <c r="F30" s="24"/>
      <c r="G30" s="24"/>
    </row>
    <row r="31" spans="3:7" x14ac:dyDescent="0.25">
      <c r="C31" s="24"/>
      <c r="D31" s="24"/>
      <c r="E31" s="24"/>
      <c r="F31" s="24"/>
      <c r="G31" s="24"/>
    </row>
    <row r="32" spans="3:7" x14ac:dyDescent="0.25">
      <c r="C32" s="24"/>
      <c r="D32" s="24"/>
      <c r="E32" s="24"/>
      <c r="F32" s="24"/>
      <c r="G32" s="24"/>
    </row>
    <row r="33" spans="3:7" x14ac:dyDescent="0.25">
      <c r="C33" s="24"/>
      <c r="D33" s="24"/>
      <c r="E33" s="24"/>
      <c r="F33" s="24"/>
      <c r="G33" s="24"/>
    </row>
    <row r="34" spans="3:7" x14ac:dyDescent="0.25">
      <c r="C34" s="24"/>
      <c r="D34" s="24"/>
      <c r="E34" s="24"/>
      <c r="F34" s="24"/>
      <c r="G34" s="24"/>
    </row>
    <row r="35" spans="3:7" x14ac:dyDescent="0.25">
      <c r="C35" s="24"/>
      <c r="D35" s="24"/>
      <c r="E35" s="24"/>
      <c r="F35" s="24"/>
      <c r="G35" s="2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A1887-CC00-4885-A098-292D9BCFAF74}">
  <dimension ref="B1:J23"/>
  <sheetViews>
    <sheetView workbookViewId="0">
      <selection activeCell="C9" sqref="C9:D9"/>
    </sheetView>
  </sheetViews>
  <sheetFormatPr defaultRowHeight="15" x14ac:dyDescent="0.25"/>
  <cols>
    <col min="2" max="2" width="18.28515625" customWidth="1"/>
    <col min="3" max="3" width="23.7109375" customWidth="1"/>
    <col min="4" max="4" width="11.28515625" customWidth="1"/>
    <col min="5" max="5" width="22.28515625" customWidth="1"/>
    <col min="8" max="8" width="14.7109375" customWidth="1"/>
    <col min="9" max="9" width="13.7109375" customWidth="1"/>
    <col min="10" max="10" width="14.140625" customWidth="1"/>
  </cols>
  <sheetData>
    <row r="1" spans="2:10" x14ac:dyDescent="0.25">
      <c r="F1" t="s">
        <v>68</v>
      </c>
      <c r="G1" t="s">
        <v>69</v>
      </c>
      <c r="H1" t="s">
        <v>66</v>
      </c>
      <c r="I1" t="s">
        <v>65</v>
      </c>
      <c r="J1" t="s">
        <v>67</v>
      </c>
    </row>
    <row r="2" spans="2:10" x14ac:dyDescent="0.25">
      <c r="D2" t="s">
        <v>64</v>
      </c>
      <c r="F2">
        <v>0.01</v>
      </c>
      <c r="G2">
        <v>8.9999999999999993E-3</v>
      </c>
      <c r="H2">
        <v>1.4999999999999999E-2</v>
      </c>
      <c r="I2">
        <v>2.5000000000000001E-2</v>
      </c>
      <c r="J2">
        <v>3.5000000000000003E-2</v>
      </c>
    </row>
    <row r="3" spans="2:10" x14ac:dyDescent="0.25">
      <c r="B3" t="s">
        <v>61</v>
      </c>
      <c r="C3" t="s">
        <v>62</v>
      </c>
      <c r="D3" t="s">
        <v>63</v>
      </c>
      <c r="E3" t="s">
        <v>17</v>
      </c>
      <c r="F3" t="s">
        <v>68</v>
      </c>
      <c r="G3" t="s">
        <v>69</v>
      </c>
      <c r="H3" t="s">
        <v>66</v>
      </c>
      <c r="I3" t="s">
        <v>65</v>
      </c>
      <c r="J3" t="s">
        <v>67</v>
      </c>
    </row>
    <row r="4" spans="2:10" x14ac:dyDescent="0.25">
      <c r="B4">
        <v>0.1</v>
      </c>
      <c r="C4">
        <v>10</v>
      </c>
      <c r="D4" s="24">
        <f>C4*0.025/2</f>
        <v>0.125</v>
      </c>
      <c r="F4">
        <f>C4*0.01*10</f>
        <v>1</v>
      </c>
      <c r="G4">
        <f>C4*0.009*10</f>
        <v>0.89999999999999991</v>
      </c>
      <c r="H4">
        <f>C4*0.015*10</f>
        <v>1.5</v>
      </c>
      <c r="I4">
        <f>C4*0.025*10</f>
        <v>2.5</v>
      </c>
      <c r="J4">
        <f>C4*0.035*10</f>
        <v>3.5000000000000004</v>
      </c>
    </row>
    <row r="5" spans="2:10" x14ac:dyDescent="0.25">
      <c r="B5">
        <v>1</v>
      </c>
      <c r="C5">
        <v>50</v>
      </c>
      <c r="D5" s="24">
        <f t="shared" ref="D5:D16" si="0">C5*0.025/2</f>
        <v>0.625</v>
      </c>
      <c r="F5">
        <f>C5*0.01*10</f>
        <v>5</v>
      </c>
      <c r="G5">
        <f t="shared" ref="G5:G16" si="1">C5*0.009*10</f>
        <v>4.5</v>
      </c>
      <c r="H5">
        <f t="shared" ref="H5:H16" si="2">C5*0.015*10</f>
        <v>7.5</v>
      </c>
      <c r="I5">
        <f t="shared" ref="I5:I16" si="3">C5*0.025*10</f>
        <v>12.5</v>
      </c>
      <c r="J5">
        <f t="shared" ref="J5:J16" si="4">C5*0.035*10</f>
        <v>17.500000000000004</v>
      </c>
    </row>
    <row r="6" spans="2:10" x14ac:dyDescent="0.25">
      <c r="B6">
        <v>5</v>
      </c>
      <c r="C6">
        <v>100</v>
      </c>
      <c r="D6" s="24">
        <f t="shared" si="0"/>
        <v>1.25</v>
      </c>
      <c r="F6">
        <f t="shared" ref="F6:F16" si="5">C6*0.01*10</f>
        <v>10</v>
      </c>
      <c r="G6">
        <f>C6*0.009*10</f>
        <v>9</v>
      </c>
      <c r="H6">
        <f t="shared" si="2"/>
        <v>15</v>
      </c>
      <c r="I6">
        <f t="shared" si="3"/>
        <v>25</v>
      </c>
      <c r="J6">
        <f t="shared" si="4"/>
        <v>35.000000000000007</v>
      </c>
    </row>
    <row r="7" spans="2:10" x14ac:dyDescent="0.25">
      <c r="B7">
        <v>10</v>
      </c>
      <c r="C7">
        <v>200</v>
      </c>
      <c r="D7" s="24">
        <f t="shared" si="0"/>
        <v>2.5</v>
      </c>
      <c r="F7">
        <f t="shared" si="5"/>
        <v>20</v>
      </c>
      <c r="G7">
        <f t="shared" si="1"/>
        <v>18</v>
      </c>
      <c r="H7">
        <f t="shared" si="2"/>
        <v>30</v>
      </c>
      <c r="I7">
        <f t="shared" si="3"/>
        <v>50</v>
      </c>
      <c r="J7">
        <f t="shared" si="4"/>
        <v>70.000000000000014</v>
      </c>
    </row>
    <row r="8" spans="2:10" x14ac:dyDescent="0.25">
      <c r="B8">
        <v>20</v>
      </c>
      <c r="C8">
        <v>250</v>
      </c>
      <c r="D8" s="24">
        <f t="shared" si="0"/>
        <v>3.125</v>
      </c>
      <c r="F8">
        <f t="shared" si="5"/>
        <v>25</v>
      </c>
      <c r="G8">
        <f t="shared" si="1"/>
        <v>22.5</v>
      </c>
      <c r="H8">
        <f t="shared" si="2"/>
        <v>37.5</v>
      </c>
      <c r="I8">
        <f t="shared" si="3"/>
        <v>62.5</v>
      </c>
      <c r="J8">
        <f t="shared" si="4"/>
        <v>87.5</v>
      </c>
    </row>
    <row r="9" spans="2:10" x14ac:dyDescent="0.25">
      <c r="B9">
        <v>30</v>
      </c>
      <c r="C9">
        <v>300</v>
      </c>
      <c r="D9" s="24">
        <f t="shared" si="0"/>
        <v>3.75</v>
      </c>
      <c r="F9">
        <f t="shared" si="5"/>
        <v>30</v>
      </c>
      <c r="G9">
        <f>C9*0.009*10</f>
        <v>26.999999999999996</v>
      </c>
      <c r="H9">
        <f t="shared" si="2"/>
        <v>45</v>
      </c>
      <c r="I9">
        <f t="shared" si="3"/>
        <v>75</v>
      </c>
      <c r="J9">
        <f t="shared" si="4"/>
        <v>105.00000000000001</v>
      </c>
    </row>
    <row r="10" spans="2:10" x14ac:dyDescent="0.25">
      <c r="B10">
        <v>40</v>
      </c>
      <c r="C10">
        <v>400</v>
      </c>
      <c r="D10" s="24">
        <f t="shared" si="0"/>
        <v>5</v>
      </c>
      <c r="F10">
        <f t="shared" si="5"/>
        <v>40</v>
      </c>
      <c r="G10">
        <f t="shared" si="1"/>
        <v>36</v>
      </c>
      <c r="H10">
        <f t="shared" si="2"/>
        <v>60</v>
      </c>
      <c r="I10">
        <f t="shared" si="3"/>
        <v>100</v>
      </c>
      <c r="J10">
        <f t="shared" si="4"/>
        <v>140.00000000000003</v>
      </c>
    </row>
    <row r="11" spans="2:10" x14ac:dyDescent="0.25">
      <c r="B11">
        <v>50</v>
      </c>
      <c r="C11">
        <v>500</v>
      </c>
      <c r="D11" s="24">
        <f t="shared" si="0"/>
        <v>6.25</v>
      </c>
      <c r="F11">
        <f t="shared" si="5"/>
        <v>50</v>
      </c>
      <c r="G11">
        <f t="shared" si="1"/>
        <v>45</v>
      </c>
      <c r="H11">
        <f t="shared" si="2"/>
        <v>75</v>
      </c>
      <c r="I11">
        <f t="shared" si="3"/>
        <v>125</v>
      </c>
      <c r="J11">
        <f t="shared" si="4"/>
        <v>175</v>
      </c>
    </row>
    <row r="12" spans="2:10" x14ac:dyDescent="0.25">
      <c r="B12">
        <v>60</v>
      </c>
      <c r="C12">
        <v>600</v>
      </c>
      <c r="D12" s="24">
        <f t="shared" si="0"/>
        <v>7.5</v>
      </c>
      <c r="F12">
        <f t="shared" si="5"/>
        <v>60</v>
      </c>
      <c r="G12">
        <f t="shared" si="1"/>
        <v>53.999999999999993</v>
      </c>
      <c r="H12">
        <f t="shared" si="2"/>
        <v>90</v>
      </c>
      <c r="I12">
        <f t="shared" si="3"/>
        <v>150</v>
      </c>
      <c r="J12">
        <f t="shared" si="4"/>
        <v>210.00000000000003</v>
      </c>
    </row>
    <row r="13" spans="2:10" x14ac:dyDescent="0.25">
      <c r="B13">
        <v>70</v>
      </c>
      <c r="C13">
        <v>700</v>
      </c>
      <c r="D13" s="24">
        <f t="shared" si="0"/>
        <v>8.75</v>
      </c>
      <c r="F13">
        <f t="shared" si="5"/>
        <v>70</v>
      </c>
      <c r="G13">
        <f t="shared" si="1"/>
        <v>63</v>
      </c>
      <c r="H13">
        <f t="shared" si="2"/>
        <v>105</v>
      </c>
      <c r="I13">
        <f t="shared" si="3"/>
        <v>175</v>
      </c>
      <c r="J13">
        <f t="shared" si="4"/>
        <v>245.00000000000003</v>
      </c>
    </row>
    <row r="14" spans="2:10" x14ac:dyDescent="0.25">
      <c r="B14">
        <v>80</v>
      </c>
      <c r="C14">
        <v>800</v>
      </c>
      <c r="D14" s="24">
        <f t="shared" si="0"/>
        <v>10</v>
      </c>
      <c r="F14">
        <f t="shared" si="5"/>
        <v>80</v>
      </c>
      <c r="G14">
        <f t="shared" si="1"/>
        <v>72</v>
      </c>
      <c r="H14">
        <f t="shared" si="2"/>
        <v>120</v>
      </c>
      <c r="I14">
        <f t="shared" si="3"/>
        <v>200</v>
      </c>
      <c r="J14">
        <f t="shared" si="4"/>
        <v>280.00000000000006</v>
      </c>
    </row>
    <row r="15" spans="2:10" x14ac:dyDescent="0.25">
      <c r="B15">
        <v>90</v>
      </c>
      <c r="C15">
        <v>900</v>
      </c>
      <c r="D15" s="24">
        <f t="shared" si="0"/>
        <v>11.25</v>
      </c>
      <c r="F15">
        <f t="shared" si="5"/>
        <v>90</v>
      </c>
      <c r="G15">
        <f t="shared" si="1"/>
        <v>81</v>
      </c>
      <c r="H15">
        <f t="shared" si="2"/>
        <v>135</v>
      </c>
      <c r="I15">
        <f t="shared" si="3"/>
        <v>225</v>
      </c>
      <c r="J15">
        <f t="shared" si="4"/>
        <v>315.00000000000006</v>
      </c>
    </row>
    <row r="16" spans="2:10" x14ac:dyDescent="0.25">
      <c r="B16">
        <v>100</v>
      </c>
      <c r="C16">
        <v>1000</v>
      </c>
      <c r="D16" s="24">
        <f t="shared" si="0"/>
        <v>12.5</v>
      </c>
      <c r="F16">
        <f t="shared" si="5"/>
        <v>100</v>
      </c>
      <c r="G16">
        <f t="shared" si="1"/>
        <v>90</v>
      </c>
      <c r="H16">
        <f t="shared" si="2"/>
        <v>150</v>
      </c>
      <c r="I16">
        <f t="shared" si="3"/>
        <v>250</v>
      </c>
      <c r="J16">
        <f t="shared" si="4"/>
        <v>350</v>
      </c>
    </row>
    <row r="22" spans="3:4" x14ac:dyDescent="0.25">
      <c r="C22" t="s">
        <v>72</v>
      </c>
      <c r="D22">
        <f>4.4/1000</f>
        <v>4.4000000000000003E-3</v>
      </c>
    </row>
    <row r="23" spans="3:4" x14ac:dyDescent="0.25">
      <c r="D23">
        <f>D22/1.25</f>
        <v>3.5200000000000001E-3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Mavic_Pro</vt:lpstr>
      <vt:lpstr>Phantom_4pro</vt:lpstr>
      <vt:lpstr>Inspire_2_Zenmuse X5s</vt:lpstr>
      <vt:lpstr>Olympus 25 mm</vt:lpstr>
      <vt:lpstr>Ματριψε 300(2)</vt:lpstr>
      <vt:lpstr>Oblique</vt:lpstr>
      <vt:lpstr>Φύλλο2</vt:lpstr>
      <vt:lpstr>Φύλλο1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Papadopoulou Ermioni</cp:lastModifiedBy>
  <dcterms:created xsi:type="dcterms:W3CDTF">2020-10-10T08:29:50Z</dcterms:created>
  <dcterms:modified xsi:type="dcterms:W3CDTF">2023-01-30T12:31:35Z</dcterms:modified>
</cp:coreProperties>
</file>