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5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egeangr-my.sharepoint.com/personal/sttd14005_aegean_gr/Documents/ΕΡΓΑΣΤΗΡΙΟ ΤΟΠΙΚΗΣ ΚΑΙ ΝΗΣΙΩΤΙΚΗΣ ΑΝΑΠΤΥΞΗΣ/Νησιωτικότητα/projects/OECD/"/>
    </mc:Choice>
  </mc:AlternateContent>
  <xr:revisionPtr revIDLastSave="2037" documentId="8_{B62F21ED-AF74-4AAA-A6AE-A4BBE1092D19}" xr6:coauthVersionLast="47" xr6:coauthVersionMax="47" xr10:uidLastSave="{76CDC298-2D8C-4901-B577-1EA9D499D2D5}"/>
  <bookViews>
    <workbookView xWindow="25080" yWindow="-120" windowWidth="19440" windowHeight="14880" firstSheet="9" activeTab="12" xr2:uid="{C760C718-EB0C-484F-AC7F-377521635F76}"/>
  </bookViews>
  <sheets>
    <sheet name="εκταση - πληθυσμός" sheetId="5" r:id="rId1"/>
    <sheet name="Ομαδοποιηση νησιών" sheetId="7" r:id="rId2"/>
    <sheet name="ΦΚ-πληθυσμός 2011-21" sheetId="1" r:id="rId3"/>
    <sheet name="Koinvnikomi Demiktez" sheetId="9" r:id="rId4"/>
    <sheet name="κκΑΕΠ" sheetId="2" r:id="rId5"/>
    <sheet name="Απασχόληση" sheetId="3" r:id="rId6"/>
    <sheet name="ΠΑ κλάδοι" sheetId="6" r:id="rId7"/>
    <sheet name="Μητρώο Επιχειρήσεων" sheetId="4" r:id="rId8"/>
    <sheet name="Productivity" sheetId="8" r:id="rId9"/>
    <sheet name="case studies - demogr" sheetId="10" r:id="rId10"/>
    <sheet name="case studies eco-census" sheetId="11" r:id="rId11"/>
    <sheet name="Companies" sheetId="12" r:id="rId12"/>
    <sheet name="Chios RU" sheetId="13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9" i="13" l="1"/>
  <c r="J28" i="13"/>
  <c r="J27" i="13"/>
  <c r="D26" i="13"/>
  <c r="J26" i="13"/>
  <c r="E23" i="13"/>
  <c r="D23" i="13"/>
  <c r="C23" i="13"/>
  <c r="L50" i="12" l="1"/>
  <c r="F39" i="11"/>
  <c r="G39" i="11"/>
  <c r="H39" i="11"/>
  <c r="I39" i="11"/>
  <c r="J39" i="11"/>
  <c r="K39" i="11"/>
  <c r="L39" i="11"/>
  <c r="M39" i="11"/>
  <c r="N39" i="11"/>
  <c r="O39" i="11"/>
  <c r="P39" i="11"/>
  <c r="Q39" i="11"/>
  <c r="R39" i="11"/>
  <c r="S39" i="11"/>
  <c r="T39" i="11"/>
  <c r="U39" i="11"/>
  <c r="V39" i="11"/>
  <c r="W39" i="11"/>
  <c r="X39" i="11"/>
  <c r="Y39" i="11"/>
  <c r="Z39" i="11"/>
  <c r="E39" i="11"/>
  <c r="F38" i="11"/>
  <c r="G38" i="11"/>
  <c r="H38" i="11"/>
  <c r="I38" i="11"/>
  <c r="J38" i="11"/>
  <c r="K38" i="11"/>
  <c r="L38" i="11"/>
  <c r="M38" i="11"/>
  <c r="N38" i="11"/>
  <c r="O38" i="11"/>
  <c r="P38" i="11"/>
  <c r="Q38" i="11"/>
  <c r="R38" i="11"/>
  <c r="S38" i="11"/>
  <c r="T38" i="11"/>
  <c r="U38" i="11"/>
  <c r="V38" i="11"/>
  <c r="W38" i="11"/>
  <c r="X38" i="11"/>
  <c r="Y38" i="11"/>
  <c r="Z38" i="11"/>
  <c r="E38" i="11"/>
  <c r="F36" i="11"/>
  <c r="G36" i="11"/>
  <c r="H36" i="11"/>
  <c r="I36" i="11"/>
  <c r="J36" i="11"/>
  <c r="K36" i="11"/>
  <c r="L36" i="11"/>
  <c r="M36" i="11"/>
  <c r="N36" i="11"/>
  <c r="O36" i="11"/>
  <c r="P36" i="11"/>
  <c r="Q36" i="11"/>
  <c r="R36" i="11"/>
  <c r="S36" i="11"/>
  <c r="T36" i="11"/>
  <c r="U36" i="11"/>
  <c r="V36" i="11"/>
  <c r="W36" i="11"/>
  <c r="X36" i="11"/>
  <c r="Y36" i="11"/>
  <c r="Z36" i="11"/>
  <c r="E36" i="11"/>
  <c r="G35" i="11"/>
  <c r="H35" i="11"/>
  <c r="I35" i="11"/>
  <c r="J35" i="11"/>
  <c r="K35" i="11"/>
  <c r="L35" i="11"/>
  <c r="N35" i="11"/>
  <c r="Q35" i="11"/>
  <c r="S35" i="11"/>
  <c r="T35" i="11"/>
  <c r="U35" i="11"/>
  <c r="V35" i="11"/>
  <c r="W35" i="11"/>
  <c r="X35" i="11"/>
  <c r="Z35" i="11"/>
  <c r="E34" i="11"/>
  <c r="F33" i="11"/>
  <c r="G33" i="11"/>
  <c r="H33" i="11"/>
  <c r="I33" i="11"/>
  <c r="J33" i="11"/>
  <c r="K33" i="11"/>
  <c r="L33" i="11"/>
  <c r="M33" i="11"/>
  <c r="N33" i="11"/>
  <c r="O33" i="11"/>
  <c r="P33" i="11"/>
  <c r="Q33" i="11"/>
  <c r="R33" i="11"/>
  <c r="S33" i="11"/>
  <c r="T33" i="11"/>
  <c r="U33" i="11"/>
  <c r="V33" i="11"/>
  <c r="W33" i="11"/>
  <c r="X33" i="11"/>
  <c r="Y33" i="11"/>
  <c r="Z33" i="11"/>
  <c r="E33" i="11"/>
  <c r="F32" i="11"/>
  <c r="G32" i="11"/>
  <c r="H32" i="11"/>
  <c r="I32" i="11"/>
  <c r="J32" i="11"/>
  <c r="K32" i="11"/>
  <c r="L32" i="11"/>
  <c r="M32" i="11"/>
  <c r="N32" i="11"/>
  <c r="O32" i="11"/>
  <c r="P32" i="11"/>
  <c r="Q32" i="11"/>
  <c r="R32" i="11"/>
  <c r="S32" i="11"/>
  <c r="T32" i="11"/>
  <c r="U32" i="11"/>
  <c r="V32" i="11"/>
  <c r="W32" i="11"/>
  <c r="X32" i="11"/>
  <c r="Y32" i="11"/>
  <c r="Z32" i="11"/>
  <c r="E32" i="11"/>
  <c r="C13" i="11"/>
  <c r="C14" i="11"/>
  <c r="C15" i="11"/>
  <c r="C16" i="11"/>
  <c r="C17" i="11"/>
  <c r="C18" i="11"/>
  <c r="C19" i="11"/>
  <c r="C12" i="11"/>
  <c r="C3" i="11"/>
  <c r="C4" i="11"/>
  <c r="C5" i="11"/>
  <c r="C6" i="11"/>
  <c r="C7" i="11"/>
  <c r="C8" i="11"/>
  <c r="C9" i="11"/>
  <c r="C2" i="11"/>
  <c r="AJ28" i="10"/>
  <c r="AJ27" i="10"/>
  <c r="AJ25" i="10"/>
  <c r="AJ24" i="10"/>
  <c r="AJ23" i="10"/>
  <c r="AJ22" i="10"/>
  <c r="AJ21" i="10"/>
  <c r="K4" i="10"/>
  <c r="K5" i="10"/>
  <c r="K6" i="10"/>
  <c r="K7" i="10"/>
  <c r="K3" i="10"/>
  <c r="G26" i="12"/>
  <c r="H26" i="12"/>
  <c r="D29" i="11"/>
  <c r="C29" i="11" s="1"/>
  <c r="E29" i="11"/>
  <c r="F29" i="11"/>
  <c r="G29" i="11"/>
  <c r="H29" i="11"/>
  <c r="I29" i="11"/>
  <c r="J29" i="11"/>
  <c r="K29" i="11"/>
  <c r="L29" i="11"/>
  <c r="M29" i="11"/>
  <c r="N29" i="11"/>
  <c r="O29" i="11"/>
  <c r="P29" i="11"/>
  <c r="Q29" i="11"/>
  <c r="R29" i="11"/>
  <c r="S29" i="11"/>
  <c r="T29" i="11"/>
  <c r="U29" i="11"/>
  <c r="V29" i="11"/>
  <c r="W29" i="11"/>
  <c r="X29" i="11"/>
  <c r="Y29" i="11"/>
  <c r="Z29" i="11"/>
  <c r="D23" i="11"/>
  <c r="C23" i="11" s="1"/>
  <c r="E23" i="11"/>
  <c r="F23" i="11"/>
  <c r="G23" i="11"/>
  <c r="H23" i="11"/>
  <c r="I23" i="11"/>
  <c r="J23" i="11"/>
  <c r="K23" i="11"/>
  <c r="L23" i="11"/>
  <c r="M23" i="11"/>
  <c r="N23" i="11"/>
  <c r="O23" i="11"/>
  <c r="P23" i="11"/>
  <c r="Q23" i="11"/>
  <c r="R23" i="11"/>
  <c r="S23" i="11"/>
  <c r="T23" i="11"/>
  <c r="U23" i="11"/>
  <c r="V23" i="11"/>
  <c r="W23" i="11"/>
  <c r="X23" i="11"/>
  <c r="Y23" i="11"/>
  <c r="Z23" i="11"/>
  <c r="D24" i="11"/>
  <c r="C24" i="11" s="1"/>
  <c r="E24" i="11"/>
  <c r="F24" i="11"/>
  <c r="F34" i="11" s="1"/>
  <c r="G24" i="11"/>
  <c r="G34" i="11" s="1"/>
  <c r="H24" i="11"/>
  <c r="H34" i="11" s="1"/>
  <c r="I24" i="11"/>
  <c r="I34" i="11" s="1"/>
  <c r="J24" i="11"/>
  <c r="J34" i="11" s="1"/>
  <c r="K24" i="11"/>
  <c r="K34" i="11" s="1"/>
  <c r="L24" i="11"/>
  <c r="L34" i="11" s="1"/>
  <c r="M24" i="11"/>
  <c r="M34" i="11" s="1"/>
  <c r="N24" i="11"/>
  <c r="N34" i="11" s="1"/>
  <c r="O24" i="11"/>
  <c r="O34" i="11" s="1"/>
  <c r="P24" i="11"/>
  <c r="P34" i="11" s="1"/>
  <c r="Q24" i="11"/>
  <c r="Q34" i="11" s="1"/>
  <c r="R24" i="11"/>
  <c r="R34" i="11" s="1"/>
  <c r="S24" i="11"/>
  <c r="S34" i="11" s="1"/>
  <c r="T24" i="11"/>
  <c r="T34" i="11" s="1"/>
  <c r="U24" i="11"/>
  <c r="U34" i="11" s="1"/>
  <c r="V24" i="11"/>
  <c r="V34" i="11" s="1"/>
  <c r="W24" i="11"/>
  <c r="W34" i="11" s="1"/>
  <c r="X24" i="11"/>
  <c r="X34" i="11" s="1"/>
  <c r="Y24" i="11"/>
  <c r="Y34" i="11" s="1"/>
  <c r="Z24" i="11"/>
  <c r="Z34" i="11" s="1"/>
  <c r="D25" i="11"/>
  <c r="C25" i="11" s="1"/>
  <c r="E25" i="11"/>
  <c r="E35" i="11" s="1"/>
  <c r="F25" i="11"/>
  <c r="F35" i="11" s="1"/>
  <c r="G25" i="11"/>
  <c r="H25" i="11"/>
  <c r="I25" i="11"/>
  <c r="J25" i="11"/>
  <c r="K25" i="11"/>
  <c r="L25" i="11"/>
  <c r="M25" i="11"/>
  <c r="M35" i="11" s="1"/>
  <c r="N25" i="11"/>
  <c r="O25" i="11"/>
  <c r="O35" i="11" s="1"/>
  <c r="P25" i="11"/>
  <c r="P35" i="11" s="1"/>
  <c r="Q25" i="11"/>
  <c r="R25" i="11"/>
  <c r="R35" i="11" s="1"/>
  <c r="S25" i="11"/>
  <c r="T25" i="11"/>
  <c r="U25" i="11"/>
  <c r="V25" i="11"/>
  <c r="W25" i="11"/>
  <c r="X25" i="11"/>
  <c r="Y25" i="11"/>
  <c r="Y35" i="11" s="1"/>
  <c r="Z25" i="11"/>
  <c r="D26" i="11"/>
  <c r="C26" i="11" s="1"/>
  <c r="E26" i="11"/>
  <c r="F26" i="11"/>
  <c r="G26" i="11"/>
  <c r="H26" i="11"/>
  <c r="I26" i="11"/>
  <c r="J26" i="11"/>
  <c r="K26" i="11"/>
  <c r="L26" i="11"/>
  <c r="M26" i="11"/>
  <c r="N26" i="11"/>
  <c r="O26" i="11"/>
  <c r="P26" i="11"/>
  <c r="Q26" i="11"/>
  <c r="R26" i="11"/>
  <c r="S26" i="11"/>
  <c r="T26" i="11"/>
  <c r="U26" i="11"/>
  <c r="V26" i="11"/>
  <c r="W26" i="11"/>
  <c r="X26" i="11"/>
  <c r="Y26" i="11"/>
  <c r="Z26" i="11"/>
  <c r="D27" i="11"/>
  <c r="C27" i="11" s="1"/>
  <c r="E27" i="11"/>
  <c r="F27" i="11"/>
  <c r="G27" i="11"/>
  <c r="H27" i="11"/>
  <c r="I27" i="11"/>
  <c r="J27" i="11"/>
  <c r="K27" i="11"/>
  <c r="L27" i="11"/>
  <c r="M27" i="11"/>
  <c r="N27" i="11"/>
  <c r="O27" i="11"/>
  <c r="P27" i="11"/>
  <c r="Q27" i="11"/>
  <c r="R27" i="11"/>
  <c r="S27" i="11"/>
  <c r="T27" i="11"/>
  <c r="U27" i="11"/>
  <c r="V27" i="11"/>
  <c r="W27" i="11"/>
  <c r="X27" i="11"/>
  <c r="Y27" i="11"/>
  <c r="Z27" i="11"/>
  <c r="D28" i="11"/>
  <c r="C28" i="11" s="1"/>
  <c r="E28" i="11"/>
  <c r="F28" i="11"/>
  <c r="G28" i="11"/>
  <c r="H28" i="11"/>
  <c r="I28" i="11"/>
  <c r="J28" i="11"/>
  <c r="K28" i="11"/>
  <c r="L28" i="11"/>
  <c r="M28" i="11"/>
  <c r="N28" i="11"/>
  <c r="O28" i="11"/>
  <c r="P28" i="11"/>
  <c r="Q28" i="11"/>
  <c r="R28" i="11"/>
  <c r="S28" i="11"/>
  <c r="T28" i="11"/>
  <c r="U28" i="11"/>
  <c r="V28" i="11"/>
  <c r="W28" i="11"/>
  <c r="X28" i="11"/>
  <c r="Y28" i="11"/>
  <c r="Z28" i="11"/>
  <c r="E22" i="11"/>
  <c r="F22" i="11"/>
  <c r="G22" i="11"/>
  <c r="H22" i="11"/>
  <c r="I22" i="11"/>
  <c r="J22" i="11"/>
  <c r="K22" i="11"/>
  <c r="L22" i="11"/>
  <c r="M22" i="11"/>
  <c r="N22" i="11"/>
  <c r="O22" i="11"/>
  <c r="P22" i="11"/>
  <c r="Q22" i="11"/>
  <c r="R22" i="11"/>
  <c r="S22" i="11"/>
  <c r="T22" i="11"/>
  <c r="U22" i="11"/>
  <c r="V22" i="11"/>
  <c r="W22" i="11"/>
  <c r="X22" i="11"/>
  <c r="Y22" i="11"/>
  <c r="Z22" i="11"/>
  <c r="D22" i="11"/>
  <c r="C22" i="11" s="1"/>
  <c r="D48" i="11"/>
  <c r="AC26" i="12"/>
  <c r="AD26" i="12"/>
  <c r="AB26" i="12"/>
  <c r="D46" i="11"/>
  <c r="D45" i="11"/>
  <c r="L26" i="12"/>
  <c r="M26" i="12"/>
  <c r="S26" i="12"/>
  <c r="T26" i="12"/>
  <c r="U26" i="12"/>
  <c r="K26" i="12"/>
  <c r="E12" i="10" l="1"/>
  <c r="D12" i="10"/>
  <c r="G18" i="10"/>
  <c r="F17" i="10"/>
  <c r="F15" i="10"/>
  <c r="F14" i="10"/>
  <c r="F13" i="10"/>
  <c r="F12" i="10" l="1"/>
  <c r="G12" i="10" s="1"/>
  <c r="AL28" i="10"/>
  <c r="AK28" i="10"/>
  <c r="AL27" i="10"/>
  <c r="AK27" i="10"/>
  <c r="AL25" i="10"/>
  <c r="AK25" i="10"/>
  <c r="AL23" i="10"/>
  <c r="AK23" i="10"/>
  <c r="AL24" i="10"/>
  <c r="AK24" i="10"/>
  <c r="AL22" i="10"/>
  <c r="AK22" i="10"/>
  <c r="AL21" i="10"/>
  <c r="AK21" i="10"/>
  <c r="AA28" i="10"/>
  <c r="AB28" i="10"/>
  <c r="AC28" i="10"/>
  <c r="AD28" i="10"/>
  <c r="AE28" i="10"/>
  <c r="AF28" i="10"/>
  <c r="Z28" i="10"/>
  <c r="AA27" i="10"/>
  <c r="AB27" i="10"/>
  <c r="AC27" i="10"/>
  <c r="AD27" i="10"/>
  <c r="AE27" i="10"/>
  <c r="AF27" i="10"/>
  <c r="Z27" i="10"/>
  <c r="AA25" i="10"/>
  <c r="AB25" i="10"/>
  <c r="AC25" i="10"/>
  <c r="AD25" i="10"/>
  <c r="AE25" i="10"/>
  <c r="AF25" i="10"/>
  <c r="Z25" i="10"/>
  <c r="AA24" i="10"/>
  <c r="AB24" i="10"/>
  <c r="AC24" i="10"/>
  <c r="AD24" i="10"/>
  <c r="AE24" i="10"/>
  <c r="AF24" i="10"/>
  <c r="Z24" i="10"/>
  <c r="AA23" i="10"/>
  <c r="AB23" i="10"/>
  <c r="AC23" i="10"/>
  <c r="AD23" i="10"/>
  <c r="AE23" i="10"/>
  <c r="AF23" i="10"/>
  <c r="Z23" i="10"/>
  <c r="AA22" i="10"/>
  <c r="AB22" i="10"/>
  <c r="AC22" i="10"/>
  <c r="AD22" i="10"/>
  <c r="AE22" i="10"/>
  <c r="AF22" i="10"/>
  <c r="Z22" i="10"/>
  <c r="AA21" i="10"/>
  <c r="AB21" i="10"/>
  <c r="AC21" i="10"/>
  <c r="AD21" i="10"/>
  <c r="AE21" i="10"/>
  <c r="AF21" i="10"/>
  <c r="Z21" i="10"/>
  <c r="V22" i="10"/>
  <c r="V23" i="10"/>
  <c r="V24" i="10"/>
  <c r="V25" i="10"/>
  <c r="V27" i="10"/>
  <c r="V28" i="10"/>
  <c r="V21" i="10"/>
  <c r="U22" i="10"/>
  <c r="U23" i="10"/>
  <c r="U24" i="10"/>
  <c r="U25" i="10"/>
  <c r="U27" i="10"/>
  <c r="U28" i="10"/>
  <c r="U21" i="10"/>
  <c r="L28" i="10"/>
  <c r="M28" i="10"/>
  <c r="N28" i="10"/>
  <c r="O28" i="10"/>
  <c r="P28" i="10"/>
  <c r="Q28" i="10"/>
  <c r="R28" i="10"/>
  <c r="S28" i="10"/>
  <c r="K28" i="10"/>
  <c r="L27" i="10"/>
  <c r="M27" i="10"/>
  <c r="N27" i="10"/>
  <c r="O27" i="10"/>
  <c r="P27" i="10"/>
  <c r="Q27" i="10"/>
  <c r="R27" i="10"/>
  <c r="S27" i="10"/>
  <c r="K27" i="10"/>
  <c r="L25" i="10"/>
  <c r="M25" i="10"/>
  <c r="N25" i="10"/>
  <c r="O25" i="10"/>
  <c r="P25" i="10"/>
  <c r="Q25" i="10"/>
  <c r="R25" i="10"/>
  <c r="S25" i="10"/>
  <c r="K25" i="10"/>
  <c r="L24" i="10"/>
  <c r="M24" i="10"/>
  <c r="N24" i="10"/>
  <c r="O24" i="10"/>
  <c r="P24" i="10"/>
  <c r="Q24" i="10"/>
  <c r="R24" i="10"/>
  <c r="S24" i="10"/>
  <c r="K24" i="10"/>
  <c r="L23" i="10"/>
  <c r="M23" i="10"/>
  <c r="N23" i="10"/>
  <c r="O23" i="10"/>
  <c r="P23" i="10"/>
  <c r="Q23" i="10"/>
  <c r="R23" i="10"/>
  <c r="S23" i="10"/>
  <c r="K23" i="10"/>
  <c r="L22" i="10"/>
  <c r="M22" i="10"/>
  <c r="N22" i="10"/>
  <c r="O22" i="10"/>
  <c r="P22" i="10"/>
  <c r="Q22" i="10"/>
  <c r="R22" i="10"/>
  <c r="S22" i="10"/>
  <c r="K22" i="10"/>
  <c r="L21" i="10"/>
  <c r="M21" i="10"/>
  <c r="N21" i="10"/>
  <c r="O21" i="10"/>
  <c r="P21" i="10"/>
  <c r="Q21" i="10"/>
  <c r="R21" i="10"/>
  <c r="S21" i="10"/>
  <c r="K21" i="10"/>
  <c r="C25" i="6"/>
  <c r="D25" i="6"/>
  <c r="E25" i="6"/>
  <c r="F25" i="6"/>
  <c r="G25" i="6"/>
  <c r="H25" i="6"/>
  <c r="I25" i="6"/>
  <c r="J25" i="6"/>
  <c r="K25" i="6"/>
  <c r="L25" i="6"/>
  <c r="M25" i="6"/>
  <c r="C24" i="6"/>
  <c r="D24" i="6"/>
  <c r="E24" i="6"/>
  <c r="F24" i="6"/>
  <c r="G24" i="6"/>
  <c r="H24" i="6"/>
  <c r="I24" i="6"/>
  <c r="J24" i="6"/>
  <c r="K24" i="6"/>
  <c r="L24" i="6"/>
  <c r="M24" i="6"/>
  <c r="C23" i="6"/>
  <c r="D23" i="6"/>
  <c r="E23" i="6"/>
  <c r="F23" i="6"/>
  <c r="G23" i="6"/>
  <c r="H23" i="6"/>
  <c r="I23" i="6"/>
  <c r="J23" i="6"/>
  <c r="K23" i="6"/>
  <c r="L23" i="6"/>
  <c r="M23" i="6"/>
  <c r="C22" i="6"/>
  <c r="D22" i="6"/>
  <c r="E22" i="6"/>
  <c r="F22" i="6"/>
  <c r="G22" i="6"/>
  <c r="H22" i="6"/>
  <c r="I22" i="6"/>
  <c r="J22" i="6"/>
  <c r="K22" i="6"/>
  <c r="L22" i="6"/>
  <c r="M22" i="6"/>
  <c r="C21" i="6"/>
  <c r="D21" i="6"/>
  <c r="E21" i="6"/>
  <c r="F21" i="6"/>
  <c r="G21" i="6"/>
  <c r="H21" i="6"/>
  <c r="I21" i="6"/>
  <c r="J21" i="6"/>
  <c r="K21" i="6"/>
  <c r="L21" i="6"/>
  <c r="M21" i="6"/>
  <c r="C20" i="6"/>
  <c r="D20" i="6"/>
  <c r="E20" i="6"/>
  <c r="F20" i="6"/>
  <c r="G20" i="6"/>
  <c r="H20" i="6"/>
  <c r="I20" i="6"/>
  <c r="J20" i="6"/>
  <c r="K20" i="6"/>
  <c r="L20" i="6"/>
  <c r="M20" i="6"/>
  <c r="C19" i="6"/>
  <c r="D19" i="6"/>
  <c r="E19" i="6"/>
  <c r="F19" i="6"/>
  <c r="G19" i="6"/>
  <c r="H19" i="6"/>
  <c r="I19" i="6"/>
  <c r="J19" i="6"/>
  <c r="K19" i="6"/>
  <c r="L19" i="6"/>
  <c r="M19" i="6"/>
  <c r="C18" i="6"/>
  <c r="D18" i="6"/>
  <c r="E18" i="6"/>
  <c r="F18" i="6"/>
  <c r="G18" i="6"/>
  <c r="H18" i="6"/>
  <c r="I18" i="6"/>
  <c r="J18" i="6"/>
  <c r="K18" i="6"/>
  <c r="L18" i="6"/>
  <c r="M18" i="6"/>
  <c r="C17" i="6"/>
  <c r="D17" i="6"/>
  <c r="E17" i="6"/>
  <c r="F17" i="6"/>
  <c r="G17" i="6"/>
  <c r="H17" i="6"/>
  <c r="I17" i="6"/>
  <c r="J17" i="6"/>
  <c r="K17" i="6"/>
  <c r="L17" i="6"/>
  <c r="M17" i="6"/>
  <c r="C16" i="6"/>
  <c r="D16" i="6"/>
  <c r="E16" i="6"/>
  <c r="F16" i="6"/>
  <c r="G16" i="6"/>
  <c r="H16" i="6"/>
  <c r="I16" i="6"/>
  <c r="J16" i="6"/>
  <c r="K16" i="6"/>
  <c r="L16" i="6"/>
  <c r="M16" i="6"/>
  <c r="B25" i="6"/>
  <c r="B24" i="6"/>
  <c r="B23" i="6"/>
  <c r="B22" i="6"/>
  <c r="B21" i="6"/>
  <c r="B20" i="6"/>
  <c r="B19" i="6"/>
  <c r="B18" i="6"/>
  <c r="B17" i="6"/>
  <c r="B16" i="6"/>
  <c r="F64" i="4" l="1"/>
  <c r="F49" i="4"/>
  <c r="F56" i="4"/>
  <c r="F52" i="4"/>
  <c r="F48" i="4"/>
  <c r="F50" i="4"/>
  <c r="F43" i="4"/>
  <c r="F41" i="4"/>
  <c r="F45" i="4"/>
  <c r="F46" i="4"/>
  <c r="F44" i="4"/>
  <c r="F40" i="4"/>
  <c r="F38" i="4"/>
  <c r="F47" i="4"/>
  <c r="F62" i="4"/>
  <c r="F42" i="4"/>
  <c r="F55" i="4"/>
  <c r="F59" i="4"/>
  <c r="F60" i="4"/>
  <c r="F58" i="4"/>
  <c r="F61" i="4"/>
  <c r="F53" i="4"/>
  <c r="F57" i="4"/>
  <c r="F51" i="4"/>
  <c r="F54" i="4"/>
  <c r="F39" i="4"/>
  <c r="F63" i="4"/>
  <c r="F28" i="4"/>
  <c r="F19" i="4"/>
  <c r="F24" i="4"/>
  <c r="F14" i="4"/>
  <c r="F23" i="4"/>
  <c r="F11" i="4"/>
  <c r="F5" i="4"/>
  <c r="F12" i="4"/>
  <c r="F16" i="4"/>
  <c r="F13" i="4"/>
  <c r="F6" i="4"/>
  <c r="F15" i="4"/>
  <c r="F8" i="4"/>
  <c r="F10" i="4"/>
  <c r="F30" i="4"/>
  <c r="F7" i="4"/>
  <c r="F25" i="4"/>
  <c r="F21" i="4"/>
  <c r="F31" i="4"/>
  <c r="F22" i="4"/>
  <c r="F29" i="4"/>
  <c r="F20" i="4"/>
  <c r="F17" i="4"/>
  <c r="F27" i="4"/>
  <c r="F18" i="4"/>
  <c r="F9" i="4"/>
  <c r="F26" i="4"/>
  <c r="G63" i="5"/>
  <c r="C96" i="4"/>
  <c r="B96" i="4"/>
  <c r="C70" i="4"/>
  <c r="B70" i="4"/>
  <c r="C71" i="4"/>
  <c r="B71" i="4"/>
  <c r="C72" i="4"/>
  <c r="B72" i="4"/>
  <c r="C73" i="4"/>
  <c r="B73" i="4"/>
  <c r="C74" i="4"/>
  <c r="B74" i="4"/>
  <c r="C75" i="4"/>
  <c r="B75" i="4"/>
  <c r="C76" i="4"/>
  <c r="B76" i="4"/>
  <c r="C77" i="4"/>
  <c r="B77" i="4"/>
  <c r="C78" i="4"/>
  <c r="B78" i="4"/>
  <c r="C79" i="4"/>
  <c r="B79" i="4"/>
  <c r="C80" i="4"/>
  <c r="B80" i="4"/>
  <c r="C81" i="4"/>
  <c r="B81" i="4"/>
  <c r="C82" i="4"/>
  <c r="B82" i="4"/>
  <c r="C83" i="4"/>
  <c r="B83" i="4"/>
  <c r="C84" i="4"/>
  <c r="B84" i="4"/>
  <c r="C86" i="4"/>
  <c r="C85" i="4"/>
  <c r="B85" i="4"/>
  <c r="B86" i="4"/>
  <c r="C87" i="4"/>
  <c r="B87" i="4"/>
  <c r="C88" i="4"/>
  <c r="B88" i="4"/>
  <c r="C89" i="4"/>
  <c r="B89" i="4"/>
  <c r="C90" i="4"/>
  <c r="B90" i="4"/>
  <c r="C91" i="4"/>
  <c r="B91" i="4"/>
  <c r="C92" i="4"/>
  <c r="B92" i="4"/>
  <c r="C93" i="4"/>
  <c r="B93" i="4"/>
  <c r="G78" i="5"/>
  <c r="C94" i="4"/>
  <c r="B94" i="4"/>
  <c r="B95" i="4"/>
  <c r="C95" i="4"/>
  <c r="C31" i="3"/>
  <c r="D31" i="3"/>
  <c r="E31" i="3"/>
  <c r="F31" i="3"/>
  <c r="G31" i="3"/>
  <c r="H31" i="3"/>
  <c r="I31" i="3"/>
  <c r="J31" i="3"/>
  <c r="K31" i="3"/>
  <c r="B31" i="3"/>
  <c r="C30" i="3"/>
  <c r="D30" i="3"/>
  <c r="E30" i="3"/>
  <c r="F30" i="3"/>
  <c r="G30" i="3"/>
  <c r="H30" i="3"/>
  <c r="I30" i="3"/>
  <c r="J30" i="3"/>
  <c r="K30" i="3"/>
  <c r="B30" i="3"/>
  <c r="C29" i="3"/>
  <c r="D29" i="3"/>
  <c r="E29" i="3"/>
  <c r="F29" i="3"/>
  <c r="G29" i="3"/>
  <c r="H29" i="3"/>
  <c r="I29" i="3"/>
  <c r="J29" i="3"/>
  <c r="K29" i="3"/>
  <c r="B29" i="3"/>
  <c r="C28" i="3"/>
  <c r="D28" i="3"/>
  <c r="E28" i="3"/>
  <c r="F28" i="3"/>
  <c r="G28" i="3"/>
  <c r="H28" i="3"/>
  <c r="I28" i="3"/>
  <c r="J28" i="3"/>
  <c r="K28" i="3"/>
  <c r="B28" i="3"/>
  <c r="C27" i="3"/>
  <c r="D27" i="3"/>
  <c r="E27" i="3"/>
  <c r="F27" i="3"/>
  <c r="G27" i="3"/>
  <c r="H27" i="3"/>
  <c r="I27" i="3"/>
  <c r="J27" i="3"/>
  <c r="K27" i="3"/>
  <c r="B27" i="3"/>
  <c r="C26" i="3"/>
  <c r="D26" i="3"/>
  <c r="E26" i="3"/>
  <c r="F26" i="3"/>
  <c r="G26" i="3"/>
  <c r="H26" i="3"/>
  <c r="I26" i="3"/>
  <c r="J26" i="3"/>
  <c r="K26" i="3"/>
  <c r="B26" i="3"/>
  <c r="C25" i="3"/>
  <c r="D25" i="3"/>
  <c r="E25" i="3"/>
  <c r="F25" i="3"/>
  <c r="G25" i="3"/>
  <c r="H25" i="3"/>
  <c r="I25" i="3"/>
  <c r="J25" i="3"/>
  <c r="K25" i="3"/>
  <c r="B25" i="3"/>
  <c r="C24" i="3"/>
  <c r="D24" i="3"/>
  <c r="E24" i="3"/>
  <c r="F24" i="3"/>
  <c r="G24" i="3"/>
  <c r="H24" i="3"/>
  <c r="I24" i="3"/>
  <c r="J24" i="3"/>
  <c r="K24" i="3"/>
  <c r="B24" i="3"/>
  <c r="C23" i="3"/>
  <c r="D23" i="3"/>
  <c r="E23" i="3"/>
  <c r="F23" i="3"/>
  <c r="G23" i="3"/>
  <c r="H23" i="3"/>
  <c r="I23" i="3"/>
  <c r="J23" i="3"/>
  <c r="K23" i="3"/>
  <c r="B23" i="3"/>
  <c r="C22" i="3"/>
  <c r="D22" i="3"/>
  <c r="E22" i="3"/>
  <c r="F22" i="3"/>
  <c r="G22" i="3"/>
  <c r="H22" i="3"/>
  <c r="I22" i="3"/>
  <c r="J22" i="3"/>
  <c r="K22" i="3"/>
  <c r="B22" i="3"/>
  <c r="C21" i="3"/>
  <c r="D21" i="3"/>
  <c r="E21" i="3"/>
  <c r="F21" i="3"/>
  <c r="G21" i="3"/>
  <c r="H21" i="3"/>
  <c r="I21" i="3"/>
  <c r="J21" i="3"/>
  <c r="K21" i="3"/>
  <c r="B21" i="3"/>
  <c r="C20" i="3"/>
  <c r="D20" i="3"/>
  <c r="E20" i="3"/>
  <c r="F20" i="3"/>
  <c r="G20" i="3"/>
  <c r="H20" i="3"/>
  <c r="I20" i="3"/>
  <c r="J20" i="3"/>
  <c r="K20" i="3"/>
  <c r="B20" i="3"/>
  <c r="C19" i="3"/>
  <c r="D19" i="3"/>
  <c r="E19" i="3"/>
  <c r="F19" i="3"/>
  <c r="G19" i="3"/>
  <c r="H19" i="3"/>
  <c r="I19" i="3"/>
  <c r="J19" i="3"/>
  <c r="K19" i="3"/>
  <c r="B19" i="3"/>
  <c r="C18" i="3"/>
  <c r="D18" i="3"/>
  <c r="E18" i="3"/>
  <c r="F18" i="3"/>
  <c r="G18" i="3"/>
  <c r="H18" i="3"/>
  <c r="I18" i="3"/>
  <c r="J18" i="3"/>
  <c r="K18" i="3"/>
  <c r="B18" i="3"/>
  <c r="H3" i="1" l="1"/>
  <c r="H4" i="1"/>
  <c r="H5" i="1"/>
  <c r="H6" i="1"/>
  <c r="H7" i="1"/>
  <c r="H8" i="1"/>
  <c r="H9" i="1"/>
  <c r="H10" i="1"/>
  <c r="H11" i="1"/>
  <c r="H13" i="1"/>
  <c r="H15" i="1"/>
  <c r="H12" i="1"/>
  <c r="H14" i="1"/>
  <c r="H16" i="1"/>
  <c r="H17" i="1"/>
  <c r="H18" i="1"/>
  <c r="H19" i="1"/>
  <c r="H20" i="1"/>
  <c r="H21" i="1"/>
  <c r="H22" i="1"/>
  <c r="H23" i="1"/>
  <c r="H24" i="1"/>
  <c r="H25" i="1"/>
  <c r="H26" i="1"/>
  <c r="H28" i="1"/>
  <c r="H27" i="1"/>
  <c r="H2" i="1"/>
  <c r="G3" i="1"/>
  <c r="G4" i="1"/>
  <c r="G5" i="1"/>
  <c r="G6" i="1"/>
  <c r="G7" i="1"/>
  <c r="G8" i="1"/>
  <c r="G9" i="1"/>
  <c r="G10" i="1"/>
  <c r="G11" i="1"/>
  <c r="G13" i="1"/>
  <c r="G15" i="1"/>
  <c r="G12" i="1"/>
  <c r="G14" i="1"/>
  <c r="G16" i="1"/>
  <c r="G17" i="1"/>
  <c r="G18" i="1"/>
  <c r="G19" i="1"/>
  <c r="G20" i="1"/>
  <c r="G21" i="1"/>
  <c r="G22" i="1"/>
  <c r="G23" i="1"/>
  <c r="G24" i="1"/>
  <c r="G25" i="1"/>
  <c r="G26" i="1"/>
  <c r="G28" i="1"/>
  <c r="G27" i="1"/>
  <c r="G2" i="1"/>
</calcChain>
</file>

<file path=xl/sharedStrings.xml><?xml version="1.0" encoding="utf-8"?>
<sst xmlns="http://schemas.openxmlformats.org/spreadsheetml/2006/main" count="1320" uniqueCount="605">
  <si>
    <t>ITHAKI</t>
  </si>
  <si>
    <t>ATTIKI ISLANDS</t>
  </si>
  <si>
    <t>THASSOS</t>
  </si>
  <si>
    <t>LEYKADA</t>
  </si>
  <si>
    <t>SYROS</t>
  </si>
  <si>
    <t>KERKYRA</t>
  </si>
  <si>
    <t>ANDROS</t>
  </si>
  <si>
    <t>TINOS</t>
  </si>
  <si>
    <t>MILOS</t>
  </si>
  <si>
    <t>LIMNOS</t>
  </si>
  <si>
    <t>KEFALLINIA</t>
  </si>
  <si>
    <t>KARPATHOS</t>
  </si>
  <si>
    <t>LESVOS</t>
  </si>
  <si>
    <t>CHIOS</t>
  </si>
  <si>
    <t>SAMOS</t>
  </si>
  <si>
    <t>GREECE</t>
  </si>
  <si>
    <t>SPORADES</t>
  </si>
  <si>
    <t>IKARIA</t>
  </si>
  <si>
    <t>ZAKYNTHOS</t>
  </si>
  <si>
    <t>KEA-KYTHNOS</t>
  </si>
  <si>
    <t>KALYMNOS</t>
  </si>
  <si>
    <t>NAXOS</t>
  </si>
  <si>
    <t>PAROS</t>
  </si>
  <si>
    <t>RODOS</t>
  </si>
  <si>
    <t>KOS</t>
  </si>
  <si>
    <t>THIRA</t>
  </si>
  <si>
    <t>MYKONOS</t>
  </si>
  <si>
    <t>Θάνατοι</t>
  </si>
  <si>
    <t>POP 2021</t>
  </si>
  <si>
    <t>POP 2011</t>
  </si>
  <si>
    <t>BIRTHS 2011-2021</t>
  </si>
  <si>
    <t>Natural mouvement 2011-21</t>
  </si>
  <si>
    <t>POP 2011-21</t>
  </si>
  <si>
    <t>NM/POP 2021</t>
  </si>
  <si>
    <t>Lesvos, Limnos</t>
  </si>
  <si>
    <t>Ikaria, Samos</t>
  </si>
  <si>
    <t>Chios</t>
  </si>
  <si>
    <t>Zakynthos</t>
  </si>
  <si>
    <t>Kerkyra</t>
  </si>
  <si>
    <t>Ithaki, Kefallinia</t>
  </si>
  <si>
    <t>Lefkada</t>
  </si>
  <si>
    <t>Greece</t>
  </si>
  <si>
    <t>2008</t>
  </si>
  <si>
    <t>2022*</t>
  </si>
  <si>
    <t>Dodecanissa</t>
  </si>
  <si>
    <t>Kyklades</t>
  </si>
  <si>
    <t>2006</t>
  </si>
  <si>
    <t>2007</t>
  </si>
  <si>
    <t>Nuts II and  Nuts III</t>
  </si>
  <si>
    <t>ELLADA</t>
  </si>
  <si>
    <t>Dodekanissa</t>
  </si>
  <si>
    <t>Ανατολική Μακεδονία &amp; Θράκη</t>
  </si>
  <si>
    <t>Κεντρική Μακεδονία</t>
  </si>
  <si>
    <t>Δυτική Μακεδονία</t>
  </si>
  <si>
    <t>Ήπειρος</t>
  </si>
  <si>
    <t>Θεσσαλία</t>
  </si>
  <si>
    <t>Ιόνια Νησιά</t>
  </si>
  <si>
    <t>Δυτική Ελλάδα</t>
  </si>
  <si>
    <t>Στερεά Ελλάδα</t>
  </si>
  <si>
    <t>Αττική</t>
  </si>
  <si>
    <t>Πελοπόννησος</t>
  </si>
  <si>
    <t>Βόρειο Αιγαίο</t>
  </si>
  <si>
    <t>Νότιο Αιγαίο</t>
  </si>
  <si>
    <t>Κρήτη</t>
  </si>
  <si>
    <t>ΕΛΛΑΔΑ</t>
  </si>
  <si>
    <t>Less than 1000 inhabitants</t>
  </si>
  <si>
    <t>1000-3500 inhabitants</t>
  </si>
  <si>
    <t>Less than 3.500 with administrative center</t>
  </si>
  <si>
    <t>3500-20000</t>
  </si>
  <si>
    <t>More than 20000 inhabitants</t>
  </si>
  <si>
    <t>100 – 500 sq.k</t>
  </si>
  <si>
    <t>More than 500 sq.k</t>
  </si>
  <si>
    <t>manufacture</t>
  </si>
  <si>
    <t>trade, transport, tourism</t>
  </si>
  <si>
    <t>Regional Unit</t>
  </si>
  <si>
    <t>Thassos</t>
  </si>
  <si>
    <t>sporades</t>
  </si>
  <si>
    <t>Ithaki</t>
  </si>
  <si>
    <t>Kefallinia</t>
  </si>
  <si>
    <t>Leykada</t>
  </si>
  <si>
    <t>Attiki islands</t>
  </si>
  <si>
    <t>Lesvos</t>
  </si>
  <si>
    <t>Limnos</t>
  </si>
  <si>
    <t>Samos</t>
  </si>
  <si>
    <t>Ikaria</t>
  </si>
  <si>
    <t>Syros</t>
  </si>
  <si>
    <t>Andros</t>
  </si>
  <si>
    <t>Thira</t>
  </si>
  <si>
    <t>Kalymnos</t>
  </si>
  <si>
    <t>Karpathos</t>
  </si>
  <si>
    <t>Kea-Kythnos</t>
  </si>
  <si>
    <t>Kos</t>
  </si>
  <si>
    <t>Milos</t>
  </si>
  <si>
    <t>Mykonos</t>
  </si>
  <si>
    <t>Naxos</t>
  </si>
  <si>
    <t>Paros</t>
  </si>
  <si>
    <t>Rodos</t>
  </si>
  <si>
    <t>Tinos</t>
  </si>
  <si>
    <t>Ellada</t>
  </si>
  <si>
    <t>agriculture</t>
  </si>
  <si>
    <t>manifacture</t>
  </si>
  <si>
    <t>trade</t>
  </si>
  <si>
    <t>hotels &amp; restaurants</t>
  </si>
  <si>
    <t>turnover</t>
  </si>
  <si>
    <t>employment</t>
  </si>
  <si>
    <t>change</t>
  </si>
  <si>
    <t>HELLAS</t>
  </si>
  <si>
    <t xml:space="preserve">Σαμοθράκη </t>
  </si>
  <si>
    <t>Samothraki</t>
  </si>
  <si>
    <t xml:space="preserve">Θάσος </t>
  </si>
  <si>
    <t>Αμμουλιανή</t>
  </si>
  <si>
    <t>Amouliani</t>
  </si>
  <si>
    <t>Αλόννησος</t>
  </si>
  <si>
    <t>Alonisos</t>
  </si>
  <si>
    <t>Σκιάθος</t>
  </si>
  <si>
    <t>Skiathos</t>
  </si>
  <si>
    <t>Σκόπελος</t>
  </si>
  <si>
    <t>Skopelos</t>
  </si>
  <si>
    <t>Ζάκυνθος</t>
  </si>
  <si>
    <t xml:space="preserve">Ιθάκη </t>
  </si>
  <si>
    <t>Κεφαλληνία</t>
  </si>
  <si>
    <t>Kephalonia</t>
  </si>
  <si>
    <t>Ερεικούσσα</t>
  </si>
  <si>
    <t>Erikoussa</t>
  </si>
  <si>
    <t>Κέρκυρα</t>
  </si>
  <si>
    <t>Μαθράκι</t>
  </si>
  <si>
    <t>Marthaki</t>
  </si>
  <si>
    <t>Οθωνοί</t>
  </si>
  <si>
    <t>Othoni</t>
  </si>
  <si>
    <t>Παξοί</t>
  </si>
  <si>
    <t>Paxi</t>
  </si>
  <si>
    <t>Κάλαμος</t>
  </si>
  <si>
    <t>Kalamos</t>
  </si>
  <si>
    <t>Καστός</t>
  </si>
  <si>
    <t>Kastos</t>
  </si>
  <si>
    <t>Λευκάδα</t>
  </si>
  <si>
    <t>Μεγανήσι</t>
  </si>
  <si>
    <t>Meganission</t>
  </si>
  <si>
    <t>Εύβοια</t>
  </si>
  <si>
    <t>Evia</t>
  </si>
  <si>
    <t>Σκύρος</t>
  </si>
  <si>
    <t>Skyros</t>
  </si>
  <si>
    <t>Τριζόνια</t>
  </si>
  <si>
    <t>Trizonia</t>
  </si>
  <si>
    <t>Ελαφόνησος</t>
  </si>
  <si>
    <t>Elafonisos</t>
  </si>
  <si>
    <t>Αγκίστρι</t>
  </si>
  <si>
    <t>Agistri</t>
  </si>
  <si>
    <t>Αίγινα</t>
  </si>
  <si>
    <t>Aegina</t>
  </si>
  <si>
    <t>Αντικύθηρα</t>
  </si>
  <si>
    <t>Antikythira</t>
  </si>
  <si>
    <t>Κύθηρα</t>
  </si>
  <si>
    <t>Kythira</t>
  </si>
  <si>
    <t>Πόρος</t>
  </si>
  <si>
    <t>Poros</t>
  </si>
  <si>
    <t>Σαλαμίνα</t>
  </si>
  <si>
    <t>Salamina</t>
  </si>
  <si>
    <t>Σπέτσες</t>
  </si>
  <si>
    <t>Spetses</t>
  </si>
  <si>
    <t>Υδρα</t>
  </si>
  <si>
    <t>Ydra</t>
  </si>
  <si>
    <t>Αγ.Ευστράτιος</t>
  </si>
  <si>
    <t>Ag.Efstratios</t>
  </si>
  <si>
    <t>Λέσβος</t>
  </si>
  <si>
    <t>Λήμνος</t>
  </si>
  <si>
    <t>Ικαρία</t>
  </si>
  <si>
    <t>Φούρνοι</t>
  </si>
  <si>
    <t>Fourni</t>
  </si>
  <si>
    <t>Σάμος</t>
  </si>
  <si>
    <t>Χίος</t>
  </si>
  <si>
    <t>Οινούσσες</t>
  </si>
  <si>
    <t>Oinoussai</t>
  </si>
  <si>
    <t>Ψαρά</t>
  </si>
  <si>
    <t>Psara</t>
  </si>
  <si>
    <t>Αγαθονήσι</t>
  </si>
  <si>
    <t>Agathonissi</t>
  </si>
  <si>
    <t>Αστυπάλαια</t>
  </si>
  <si>
    <t>Astypalaia</t>
  </si>
  <si>
    <t>Κάλυμνος</t>
  </si>
  <si>
    <t>Κάρπαθος</t>
  </si>
  <si>
    <t>Κάσος</t>
  </si>
  <si>
    <t>Kasos</t>
  </si>
  <si>
    <t>Κώς</t>
  </si>
  <si>
    <t>Λειψοί</t>
  </si>
  <si>
    <t>Lipsi</t>
  </si>
  <si>
    <t>Λέρος</t>
  </si>
  <si>
    <t>Leros</t>
  </si>
  <si>
    <t>Μεγίστη / Καστελλόριζο</t>
  </si>
  <si>
    <t>Megisti</t>
  </si>
  <si>
    <t>Νίσυρος</t>
  </si>
  <si>
    <t>Nisyros</t>
  </si>
  <si>
    <t>Πάτμος</t>
  </si>
  <si>
    <t>Patmos</t>
  </si>
  <si>
    <t>Ρόδος</t>
  </si>
  <si>
    <t>Σύμη</t>
  </si>
  <si>
    <t>Symi</t>
  </si>
  <si>
    <t>Τήλος</t>
  </si>
  <si>
    <t>Tilos</t>
  </si>
  <si>
    <t>Χάλκη</t>
  </si>
  <si>
    <t>Chalki</t>
  </si>
  <si>
    <t>Αμοργός</t>
  </si>
  <si>
    <t>Amorgos</t>
  </si>
  <si>
    <t>Ανάφη</t>
  </si>
  <si>
    <t>Anafi</t>
  </si>
  <si>
    <t xml:space="preserve">Ανδρος </t>
  </si>
  <si>
    <t>Αντίπαρος</t>
  </si>
  <si>
    <t>Antiparos</t>
  </si>
  <si>
    <t>Δονούσα</t>
  </si>
  <si>
    <t>Donoussa</t>
  </si>
  <si>
    <t>Ηράκλεια</t>
  </si>
  <si>
    <t>Iraklia</t>
  </si>
  <si>
    <t>Θήρα</t>
  </si>
  <si>
    <t>Θηρασία</t>
  </si>
  <si>
    <t>Thirasia</t>
  </si>
  <si>
    <t>Ιος</t>
  </si>
  <si>
    <t>Ios</t>
  </si>
  <si>
    <t>Κέα</t>
  </si>
  <si>
    <t>Kea</t>
  </si>
  <si>
    <t>Κίμωλος</t>
  </si>
  <si>
    <t>Kimolos</t>
  </si>
  <si>
    <t>Κουφονήσι</t>
  </si>
  <si>
    <t>Koufonissi</t>
  </si>
  <si>
    <t>Κύθνος</t>
  </si>
  <si>
    <t>Kythnos</t>
  </si>
  <si>
    <t>Μήλος</t>
  </si>
  <si>
    <t>Μύκονος</t>
  </si>
  <si>
    <t>Νάξος</t>
  </si>
  <si>
    <t>Πάρος</t>
  </si>
  <si>
    <t>Σέριφος</t>
  </si>
  <si>
    <t>Serifos</t>
  </si>
  <si>
    <t>Σχινούσσα</t>
  </si>
  <si>
    <t>Schinoussa</t>
  </si>
  <si>
    <t>Σίκινος</t>
  </si>
  <si>
    <t>Sikinos</t>
  </si>
  <si>
    <t>Σίφνος</t>
  </si>
  <si>
    <t>Sifnos</t>
  </si>
  <si>
    <t>Σύρος</t>
  </si>
  <si>
    <t xml:space="preserve">Τήνος </t>
  </si>
  <si>
    <t>Φολέγανδρος</t>
  </si>
  <si>
    <t>Folegandros</t>
  </si>
  <si>
    <t>Kriti</t>
  </si>
  <si>
    <t>Gavdos</t>
  </si>
  <si>
    <t>ΣΑΜΟΘΡΑΚΗ</t>
  </si>
  <si>
    <t>ΘΑΣΟΣ</t>
  </si>
  <si>
    <t>ΑΜΜΟΥΛΙΑΝΗ</t>
  </si>
  <si>
    <t>ΑΛΟΝΝΗΣΟΣ</t>
  </si>
  <si>
    <t>ΣΚΙΑΘΟΣ</t>
  </si>
  <si>
    <t>ΣΚΟΠΕΛΟΣ</t>
  </si>
  <si>
    <t>ΖΑΚΥΝΘΟΣ</t>
  </si>
  <si>
    <t>ΙΘΑΚΗ</t>
  </si>
  <si>
    <t>ΚΕΦΑΛΟΝΙΑ</t>
  </si>
  <si>
    <t>ΕΡΕΙΚΟΥΣΣΑ</t>
  </si>
  <si>
    <t>ΚΕΡΚΥΡΑ</t>
  </si>
  <si>
    <t>ΜΑΘΡΑΚΙ</t>
  </si>
  <si>
    <t xml:space="preserve"> ΟΘΩΝΟΙ</t>
  </si>
  <si>
    <t>ΠΑΞΟΙ</t>
  </si>
  <si>
    <t>ΚΑΛΑΜΟΣ</t>
  </si>
  <si>
    <t>ΚΑΣΤΟΣ</t>
  </si>
  <si>
    <t>ΛΕΥΚΑΔΑ</t>
  </si>
  <si>
    <t>ΜΕΓΑΝΗΣΙ</t>
  </si>
  <si>
    <t>ΕΥΒΟΙΑ</t>
  </si>
  <si>
    <t>ΣΚΥΡΟΣ</t>
  </si>
  <si>
    <t>ΤΡΙΖΟΝΙΑ</t>
  </si>
  <si>
    <t>ΕΛΑΦΟΝΗΣΟΣ</t>
  </si>
  <si>
    <t>ΑΓΚΙΣΤΡΙ</t>
  </si>
  <si>
    <t>ΑΙΓΙΝΑ</t>
  </si>
  <si>
    <t>ΑΝΤΙΚΥΘΗΡΑ</t>
  </si>
  <si>
    <t>ΚΥΘΗΡΑ</t>
  </si>
  <si>
    <t>ΠΟΡΟΣ</t>
  </si>
  <si>
    <t>ΣΑΛΑΜΙΝΑ</t>
  </si>
  <si>
    <t>ΣΠΕΤΣΕΣ</t>
  </si>
  <si>
    <t>ΥΔΡΑ</t>
  </si>
  <si>
    <t>ΑΓΙΟΣ ΕΥΣΤΡΑΤΙΟΣ</t>
  </si>
  <si>
    <t xml:space="preserve"> ΛΕΣΒΟΣ</t>
  </si>
  <si>
    <t>ΛΗΜΝΟΣ</t>
  </si>
  <si>
    <t>ΙΚΑΡΙΑ</t>
  </si>
  <si>
    <t>ΦΟΥΡΝΟΙ</t>
  </si>
  <si>
    <t>ΣΑΜΟΣ</t>
  </si>
  <si>
    <t xml:space="preserve"> ΧΙΟΣ</t>
  </si>
  <si>
    <t>ΟΙΝΟΥΣΣΕΣ</t>
  </si>
  <si>
    <t>ΨΑΡΑ</t>
  </si>
  <si>
    <t>ΑΓΑΘΟΝΗΣΙ</t>
  </si>
  <si>
    <t>ΑΣΤΥΠΑΛΑΙΑ</t>
  </si>
  <si>
    <t>ΚΑΛΥΜΝΟΣ</t>
  </si>
  <si>
    <t>ΚΑΡΠΑΘΟΣ</t>
  </si>
  <si>
    <t>ΚΑΣΟΣ</t>
  </si>
  <si>
    <t>ΚΩΣ</t>
  </si>
  <si>
    <t>ΛΕΙΨΟΙ</t>
  </si>
  <si>
    <t>ΛΕΡΟΣ</t>
  </si>
  <si>
    <t>ΜΕΓΙΣΤΗ (ΚΑΣΤΕΛΟΡΙΖΟ)</t>
  </si>
  <si>
    <t>ΝΙΣΥΡΟΣ</t>
  </si>
  <si>
    <t>ΠΑΤΜΟΣ</t>
  </si>
  <si>
    <t>ΡΟΔΟΣ</t>
  </si>
  <si>
    <t>ΣΥΜΗ</t>
  </si>
  <si>
    <t>ΤΗΛΟΣ</t>
  </si>
  <si>
    <t>ΧΑΛΚΗ</t>
  </si>
  <si>
    <t>ΑΜΟΡΓΟΣ</t>
  </si>
  <si>
    <t>ΑΝΑΦΗ</t>
  </si>
  <si>
    <t>ΑΝΔΡΟΣ</t>
  </si>
  <si>
    <t>ΑΝΤΙΠΑΡΟΣ</t>
  </si>
  <si>
    <t xml:space="preserve"> ΔΟΝΟΥΣΑ</t>
  </si>
  <si>
    <t>ΗΡΑΚΛΕΙΑ</t>
  </si>
  <si>
    <t>ΣΑΝΤΟΡΙΝΗ</t>
  </si>
  <si>
    <t>ΘΗΡΑΣΙΑ</t>
  </si>
  <si>
    <t>ΙΟΣ</t>
  </si>
  <si>
    <t>ΚΕΑ</t>
  </si>
  <si>
    <t>ΚΙΜΩΛΟΣ</t>
  </si>
  <si>
    <t>ΚΟΥΦΟΝΗΣΙΑ</t>
  </si>
  <si>
    <t>ΚΥΘΝΟΣ</t>
  </si>
  <si>
    <t>ΜΗΛΟΣ</t>
  </si>
  <si>
    <t>ΜΥΚΟΝΟΣ</t>
  </si>
  <si>
    <t>ΝΑΞΟΣ</t>
  </si>
  <si>
    <t>ΠΑΡΟΣ</t>
  </si>
  <si>
    <t>ΣΕΡΙΦΟΣ</t>
  </si>
  <si>
    <t>ΣΧΟΙΝΟΥΣΣΑ</t>
  </si>
  <si>
    <t>ΣΙΚΙΝΟΣ</t>
  </si>
  <si>
    <t>ΣΙΦΝΟΣ</t>
  </si>
  <si>
    <t>ΣΥΡΟΣ</t>
  </si>
  <si>
    <t>ΤΗΝΟΣ</t>
  </si>
  <si>
    <t>ΦΟΛΕΓΑΝΔΡΟΣ</t>
  </si>
  <si>
    <t>ΚΡΗΤΗ</t>
  </si>
  <si>
    <t>ΓΑΥΔΟΣ</t>
  </si>
  <si>
    <t>ΠΑΛΑΙΟ ΤΡΙΚΕΡΙ</t>
  </si>
  <si>
    <t>ΑΝΤΙΠΑΞΟΣ</t>
  </si>
  <si>
    <t>ΘΥΜΑΙΝΑ</t>
  </si>
  <si>
    <t>ΤΕΛΕΝΔΟΣ</t>
  </si>
  <si>
    <t>ΨΕΡΙΜΟΣ</t>
  </si>
  <si>
    <t>ΦΑΡΜΑΚΟΝΗΣΙ</t>
  </si>
  <si>
    <t>ΑΡΚΟΙ</t>
  </si>
  <si>
    <t>Less than 40 sq.k</t>
  </si>
  <si>
    <t>40 -100 sq.k</t>
  </si>
  <si>
    <t>Region</t>
  </si>
  <si>
    <t>Islands</t>
  </si>
  <si>
    <t>Anatoliki Makedonia Thraki</t>
  </si>
  <si>
    <t>Evros</t>
  </si>
  <si>
    <t>Kentriki Makedonia</t>
  </si>
  <si>
    <t>Halkidiki</t>
  </si>
  <si>
    <t>Thessalia</t>
  </si>
  <si>
    <t>Sporades</t>
  </si>
  <si>
    <t>Alonissos, Skiathos, Skopelos</t>
  </si>
  <si>
    <t>Ionia nissia</t>
  </si>
  <si>
    <t>Kefallonia</t>
  </si>
  <si>
    <t>Kerkyra, Erikoussa, Mathraki, Othoni, Paxi</t>
  </si>
  <si>
    <t>Lefkada, Kastos, Kalamos, Meganissi</t>
  </si>
  <si>
    <t>Sterea Ellada</t>
  </si>
  <si>
    <t>Fokida</t>
  </si>
  <si>
    <t>Peloponissos</t>
  </si>
  <si>
    <t>Lakonia</t>
  </si>
  <si>
    <t>Elafonissos</t>
  </si>
  <si>
    <t>Attiki</t>
  </si>
  <si>
    <t>Nissia Attikis</t>
  </si>
  <si>
    <t xml:space="preserve">Agkistri, Aigina, Antikythira, Kythira, Poros, Salamina, Spetses, Hydra, </t>
  </si>
  <si>
    <t>Limnos, Agios Efstratios</t>
  </si>
  <si>
    <t>Chios, Oinousses, Psara</t>
  </si>
  <si>
    <t>Ikaria, Fournoi. Thymaina</t>
  </si>
  <si>
    <t>Notio Aigaio</t>
  </si>
  <si>
    <t>Kalymnos, Leros, Patmos, Arkoi, Agathonissi, Astypalaia, Lipsi, Telendos. Farmakonissi</t>
  </si>
  <si>
    <t>Kos, Nysiros</t>
  </si>
  <si>
    <t>Rodos, Tilos, Chalki, Symi, Kastellorizo</t>
  </si>
  <si>
    <t>Karpathos, Kassos</t>
  </si>
  <si>
    <t>Sytos</t>
  </si>
  <si>
    <t>Milos, Kimolos, Sifnos, Serifos</t>
  </si>
  <si>
    <t>Thira, Thirassia, Ios, Sikinos, Folegandros, Anafi</t>
  </si>
  <si>
    <t>Naxos, Shinoussa, Koufonissi, Donoussa, Amorgos</t>
  </si>
  <si>
    <t>Paros, Antiparos</t>
  </si>
  <si>
    <t>Kea, Kythnos</t>
  </si>
  <si>
    <t>trizonia, Mathraki, Erikoussa, Koufonissi, Kastos, Amouliani, Schinoussa, Megisti, Thirassia, Othoni, Donoussa, Agathonissi, Oinousses, Lipsi, Iraklia, Elafonissis, Meganissi, Antikythira, Kalamos, Chalki, Folegandros, Kimolos, Anafi, Psara</t>
  </si>
  <si>
    <t>Agistri, Poros, Paxi, Fourni, Patmos, Antiparos</t>
  </si>
  <si>
    <t>Sikinos, Ag. Efstratios, Tilos</t>
  </si>
  <si>
    <t>Nisyros, Ydra, Symi, Alonissos, Kassos, Sifnos, Serifos, Astipalaia, Kythnos</t>
  </si>
  <si>
    <t>Skiathos, Leros, Thira, Aigina, Mykonos, Skopelos</t>
  </si>
  <si>
    <t>Syros, Salamina</t>
  </si>
  <si>
    <t>Ios, Amorgos, Samothraki, Skyros</t>
  </si>
  <si>
    <t xml:space="preserve">Kalymnos, Milos, Tinos, Paros, Ikaria, Kythira, Karpathos, Thassos, Andros, Naxos, Limnos, </t>
  </si>
  <si>
    <t>Kos, Lefkada, Zakynthos, Samos</t>
  </si>
  <si>
    <t>Kerkyra, Kephalonia, Chios, Rodos, Lesvos</t>
  </si>
  <si>
    <t>Voreio Aigaio</t>
  </si>
  <si>
    <t>Total of competitive branches</t>
  </si>
  <si>
    <t>secondary sector</t>
  </si>
  <si>
    <t>construction</t>
  </si>
  <si>
    <t>Information and communication</t>
  </si>
  <si>
    <t>Financial and insurance activities</t>
  </si>
  <si>
    <t>Real estate activities</t>
  </si>
  <si>
    <t>Professional, scientific and technical activities, administrative and support service activities</t>
  </si>
  <si>
    <t>Public administration and defence, compulsory social security, education, human health and social work activities</t>
  </si>
  <si>
    <t>Arts, entertainment, recreation, other service activities, activities of households as employers, undifferentiated goods and services producing activities of households for own use, activities of extraterritorial organisations and bodies</t>
  </si>
  <si>
    <t>total</t>
  </si>
  <si>
    <t xml:space="preserve">Arts, entertainment, recreation, other service activities, activities of households as employers, </t>
  </si>
  <si>
    <t>Total</t>
  </si>
  <si>
    <t>Number of active enterprises</t>
  </si>
  <si>
    <t>ECONOMIC RESULTS AND PERFORMANCE</t>
  </si>
  <si>
    <t>LABOUR COST</t>
  </si>
  <si>
    <t>LABOUR INPUT</t>
  </si>
  <si>
    <t>Total purchases of goods and services</t>
  </si>
  <si>
    <t>Investments</t>
  </si>
  <si>
    <t>Net turnover</t>
  </si>
  <si>
    <t>Value of output</t>
  </si>
  <si>
    <t>Value added</t>
  </si>
  <si>
    <t>Employee benefits expense</t>
  </si>
  <si>
    <t>Wages and salaries</t>
  </si>
  <si>
    <t>Social security costs</t>
  </si>
  <si>
    <t>Number of employees and self-employed persons</t>
  </si>
  <si>
    <t xml:space="preserve">Number of employees </t>
  </si>
  <si>
    <t>Anatoliki Makedonia and Thraki</t>
  </si>
  <si>
    <t>Dytiki Makedonia</t>
  </si>
  <si>
    <t xml:space="preserve"> Ipeiros</t>
  </si>
  <si>
    <t>Ionia Nisia</t>
  </si>
  <si>
    <t>Dytiki Ellada</t>
  </si>
  <si>
    <t xml:space="preserve"> Peloponnisos</t>
  </si>
  <si>
    <t>VA/employment</t>
  </si>
  <si>
    <t>Hotels &amp; Restaurants</t>
  </si>
  <si>
    <t>Manufacture</t>
  </si>
  <si>
    <t>nd</t>
  </si>
  <si>
    <t>Δ.Ελλάδα</t>
  </si>
  <si>
    <t>Ipiros</t>
  </si>
  <si>
    <t>EU</t>
  </si>
  <si>
    <t>employment rate (% pop 20-64)</t>
  </si>
  <si>
    <t>employment change 2013-22</t>
  </si>
  <si>
    <t>unemployment 2022</t>
  </si>
  <si>
    <t>change of unemployment 2012-2022</t>
  </si>
  <si>
    <t>change of empolyment in the sector of information and communication  2013-2020</t>
  </si>
  <si>
    <t>% polpulation 25-64 with tertiary education</t>
  </si>
  <si>
    <t>Vocational education and training attainment rates</t>
  </si>
  <si>
    <t>Deposit per capita</t>
  </si>
  <si>
    <t>people born outside EU %</t>
  </si>
  <si>
    <t>Participation rate of early childhood education</t>
  </si>
  <si>
    <t>% of early leavers from education or training</t>
  </si>
  <si>
    <t>Population at risk of poverty or social exclusion, 2022</t>
  </si>
  <si>
    <t>Difference between female and male employment rates (ages 20-64), 2022</t>
  </si>
  <si>
    <t>Difference between female and male tertiary education level rates, 2022</t>
  </si>
  <si>
    <t>Basic human needs</t>
  </si>
  <si>
    <t>foundation of wellbeing</t>
  </si>
  <si>
    <t>Opportunities</t>
  </si>
  <si>
    <t>Index</t>
  </si>
  <si>
    <t>Population</t>
  </si>
  <si>
    <t>Oinousses</t>
  </si>
  <si>
    <t>RU Chios</t>
  </si>
  <si>
    <t>Kastelorizo</t>
  </si>
  <si>
    <t>RU Rhodes</t>
  </si>
  <si>
    <t>age pyramid</t>
  </si>
  <si>
    <t>Σύνολο</t>
  </si>
  <si>
    <t xml:space="preserve"> 0-9</t>
  </si>
  <si>
    <t>10-19</t>
  </si>
  <si>
    <t>20-29</t>
  </si>
  <si>
    <t>30-39</t>
  </si>
  <si>
    <t>40-49</t>
  </si>
  <si>
    <t>50-59</t>
  </si>
  <si>
    <t>60-69</t>
  </si>
  <si>
    <t>70-79</t>
  </si>
  <si>
    <t>80+</t>
  </si>
  <si>
    <t>males</t>
  </si>
  <si>
    <t>females</t>
  </si>
  <si>
    <t>education atteinement</t>
  </si>
  <si>
    <t>L6+</t>
  </si>
  <si>
    <t>L5</t>
  </si>
  <si>
    <t>L4</t>
  </si>
  <si>
    <t>L3</t>
  </si>
  <si>
    <t>L2</t>
  </si>
  <si>
    <t>rest europe</t>
  </si>
  <si>
    <t>2011-21</t>
  </si>
  <si>
    <t>Α.ΓΕΩΡΓΙΑ, ΔΑΣΟΚΟΜΙΑ ΚΑΙ ΑΛΙΕΙΑ</t>
  </si>
  <si>
    <t>Β.ΟΡΥΧΕΙΑ ΚΑΙ ΛΑΤΟΜΕΙΑ</t>
  </si>
  <si>
    <t>Γ.ΜΕΤΑΠΟΙΗΣΗ</t>
  </si>
  <si>
    <t>Δ.ΠΑΡΟΧΗ ΗΛΕΚΤΡΙΚΟΥ ΡΕΥΜΑΤΟΣ, ΦΥΣΙΚΟΥ ΑΕΡΙΟΥ, ΑΤΜΟΥ ΚΑΙ ΚΛΙΜΑΤΙΣΜΟΥ</t>
  </si>
  <si>
    <t>Ε.ΠΑΡΟΧΗ ΝΕΡΟΥ. ΕΠΕΞΕΡΓΑΣΙΑ ΛΥΜΑΤΩΝ, ΔΙΑΧΕΙΡΙΣΗ ΑΠΟΒΛΗΤΩΝ ΚΑΙ ΔΡΑΣΤΗΡΙΟΤΗΤΕΣ ΕΞΥΓΙΑΝΣΗΣ</t>
  </si>
  <si>
    <t>ΣΤ.ΚΑΤΑΣΚΕΥΕΣ</t>
  </si>
  <si>
    <t>Ζ.ΧΟΝΔΡΙΚΟ ΚΑΙ ΛΙΑΝΙΚΟ ΕΜΠΟΡΙΟ. ΕΠΙΣΚΕΥΗ ΜΗΧΑΝΟΚΙΝΗΤΩΝ ΟΧΗΜΑΤΩΝ ΚΑΙ ΜΟΤΟΣΥΚΛΕΤΩΝ</t>
  </si>
  <si>
    <t>Η.ΜΕΤΑΦΟΡΑ ΚΑΙ ΑΠΟΘΗΚΕΥΣΗ</t>
  </si>
  <si>
    <t>Θ.ΔΡΑΣΤΗΡΙΟΤΗΤΕΣ ΥΠΗΡΕΣΙΩΝ ΠΑΡΟΧΗΣ ΚΑΤΑΛΥΜΑΤΟΣ ΚΑΙ ΥΠΗΡΕΣΙΩΝ ΕΣΤΙΑΣΗΣ</t>
  </si>
  <si>
    <t>Ι.ΕΝΗΜΕΡΩΣΗ ΚΑΙ ΕΠΙΚΟΙΝΩΝΙΑ</t>
  </si>
  <si>
    <t>Κ.ΧΡΗΜΑΤΟΠΙΣΤΩΤΙΚΕΣ ΚΑΙ ΑΣΦΑΛΙΣΤΙΚΕΣ ΔΡΑΣΤΗΡΙΟΤΗΤΕΣ</t>
  </si>
  <si>
    <t>Λ.ΔΙΑΧΕΙΡΙΣΗ ΑΚΙΝΗΤΗΣ ΠΕΡΙΟΥΣΙΑΣ</t>
  </si>
  <si>
    <t>Μ.ΕΠΑΓΓΕΛΜΑΤΙΚΕΣ, ΕΠΙΣΤΗΜΟΝΙΚΕΣ ΚΑΙ ΤΕΧΝΙΚΕΣ ΔΡΑΣΤΗΡΙΟΤΗΤΕΣ</t>
  </si>
  <si>
    <t>Ν.ΔΙΟΙΚΗΤΙΚΕΣ ΚΑΙ ΥΠΟΣΤΗΡΙΚΤΙΚΕΣ ΔΡΑΣΤΗΡΙΟΤΗΤΕΣ</t>
  </si>
  <si>
    <t>Ξ.ΔΗΜΟΣΙΑ ΔΙΟΙΚΗΣΗ ΚΑΙ ΑΜΥΝΑ. ΥΠΟΧΡΕΩΤΙΚΗ ΚΟΙΝΩΝΙΚΗ ΑΣΦΑΛΙΣΗ</t>
  </si>
  <si>
    <t>Ο.ΕΚΠΑΙΔΕΥΣΗ</t>
  </si>
  <si>
    <t>Π.ΔΡΑΣΤΗΡΙΟΤΗΤΕΣ ΣΧΕΤΙΚΕΣ ΜΕ ΤΗΝ ΑΝΘΡΩΠΙΝΗ ΥΓΕΙΑ ΚΑΙ ΤΗΝ ΚΟΙΝΩΝΙΚΗ ΜΕΡΙΜΝΑ</t>
  </si>
  <si>
    <t>Ρ.ΤΕΧΝΕΣ, ΔΙΑΣΚΕΔΑΣΗ ΚΑΙ ΨΥΧΑΓΩΓΙΑ</t>
  </si>
  <si>
    <t>Σ.ΑΛΛΕΣ ΔΡΑΣΤΗΡΙΟΤΗΤΕΣ ΠΑΡΟΧΗΣ ΥΠΗΡΕΣΙΩΝ</t>
  </si>
  <si>
    <t>Τ.ΔΡΑΣΤΗΡΙΟΤΗΤΕΣ ΝΟΙΚΟΚΥΡΙΩΝ ΩΣ ΕΡΓΟΔΟΤΩΝ. ΜΗ ΔΙΑΦΟΡΟΠΟΙΗΜΕΝΕΣ ΔΡΑΣΤΗΡΙΟΤΗΤΕΣ ΝΟΙΚΟΚΥΡΙΩΝ, ΠΟΥ ΑΦΟΡΟΥΝ ΤΗΝ ΠΑΡΑΓΩΓΗ ΑΓΑΘΩΝ -ΚΑΙ ΥΠΗΡΕΣΙΩΝ- ΓΙΑ ΙΔΙΑ ΧΡΗΣΗ</t>
  </si>
  <si>
    <t>Υ.ΔΡΑΣΤΗΡΙΟΤΗΤΕΣ ΕΤΕΡΟΔΙΚΩΝ ΟΡΓΑΝΙΣΜΩΝ ΚΑΙ ΦΟΡΕΩΝ</t>
  </si>
  <si>
    <t>total pop</t>
  </si>
  <si>
    <t>employed</t>
  </si>
  <si>
    <t>non-employed</t>
  </si>
  <si>
    <t>Α</t>
  </si>
  <si>
    <t>Β</t>
  </si>
  <si>
    <t>Γ</t>
  </si>
  <si>
    <t>Δ</t>
  </si>
  <si>
    <t>Ε</t>
  </si>
  <si>
    <t>ΣΤ</t>
  </si>
  <si>
    <t>Ζ</t>
  </si>
  <si>
    <t>Η</t>
  </si>
  <si>
    <t>Θ</t>
  </si>
  <si>
    <t>Ι</t>
  </si>
  <si>
    <t>Κ</t>
  </si>
  <si>
    <t>Λ</t>
  </si>
  <si>
    <t>Μ</t>
  </si>
  <si>
    <t>Ν</t>
  </si>
  <si>
    <t>Ξ</t>
  </si>
  <si>
    <t>Ο</t>
  </si>
  <si>
    <t>Π</t>
  </si>
  <si>
    <t>Ρ</t>
  </si>
  <si>
    <t>Σ</t>
  </si>
  <si>
    <t>Ω</t>
  </si>
  <si>
    <t>x</t>
  </si>
  <si>
    <t>ME 2022</t>
  </si>
  <si>
    <t>ΓΕΩΡΓΙΑ, ΔΑΣΟΚΟΜΙΑ ΚΑΙ ΑΛΙΕΙΑ  </t>
  </si>
  <si>
    <t>ΟΡΥΧΕΙΑ ΚΑΙ ΛΑΤΟΜΕΙΑ  </t>
  </si>
  <si>
    <t>ΜΕΤΑΠΟΙΗΣΗ  </t>
  </si>
  <si>
    <t>ΠΑΡΟΧΗ ΗΛΕΚΤΡΙΚΟΥ ΡΕΥΜΑΤΟΣ, ΦΥΣΙΚΟΥ ΑΕΡΙΟΥ, ΑΤΜΟΥ ΚΑΙ ΚΛΙΜΑΤΙΣΜΟΥ  </t>
  </si>
  <si>
    <t>ΠΑΡΟΧΗ ΝΕΡΟΥ· ΕΠΕΞΕΡΓΑΣΙΑ ΛΥΜΑΤΩΝ, ΔΙΑΧΕΙΡΙΣΗ ΑΠΟΒΛΗΤΩΝ ΚΑΙ ΔΡΑΣΤΗΡΙΟΤΗΤΕΣ ΕΞΥΓΙΑΝΣΗΣ  </t>
  </si>
  <si>
    <t>ΚΑΤΑΣΚΕΥΕΣ  </t>
  </si>
  <si>
    <t>ΧΟΝΔΡΙΚΟ ΚΑΙ ΛΙΑΝΙΚΟ ΕΜΠΟΡΙΟ· ΕΠΙΣΚΕΥΗ ΜΗΧΑΝΟΚΙΝΗΤΩΝ ΟΧΗΜΑΤΩΝ ΚΑΙ ΜΟΤΟΣΥΚΛΕΤΩΝ  </t>
  </si>
  <si>
    <t>ΜΕΤΑΦΟΡΑ ΚΑΙ ΑΠΟΘΗΚΕΥΣΗ  </t>
  </si>
  <si>
    <t>ΔΡΑΣΤΗΡΙΟΤΗΤΕΣ ΥΠΗΡΕΣΙΩΝ ΠΑΡΟΧΗΣ ΚΑΤΑΛΥΜΑΤΟΣ ΚΑΙ ΥΠΗΡΕΣΙΩΝ ΕΣΤΙΑΣΗΣ  </t>
  </si>
  <si>
    <t>ΕΝΗΜΕΡΩΣΗ ΚΑΙ ΕΠΙΚΟΙΝΩΝΙΑ  </t>
  </si>
  <si>
    <t>ΧΡΗΜΑΤΟΠΙΣΤΩΤΙΚΕΣ ΚΑΙ ΑΣΦΑΛΙΣΤΙΚΕΣ ΔΡΑΣΤΗΡΙΟΤΗΤΕΣ  </t>
  </si>
  <si>
    <t>ΔΙΑΧΕΙΡΙΣΗ ΑΚΙΝΗΤΗΣ ΠΕΡΙΟΥΣΙΑΣ  </t>
  </si>
  <si>
    <t>ΕΠΑΓΓΕΛΜΑΤΙΚΕΣ, ΕΠΙΣΤΗΜΟΝΙΚΕΣ ΚΑΙ ΤΕΧΝΙΚΕΣ ΔΡΑΣΤΗΡΙΟΤΗΤΕΣ  </t>
  </si>
  <si>
    <t>ΔΙΟΙΚΗΤΙΚΕΣ ΚΑΙ ΥΠΟΣΤΗΡΙΚΤΙΚΕΣ ΔΡΑΣΤΗΡΙΟΤΗΤΕΣ  </t>
  </si>
  <si>
    <t>ΔΗΜΟΣΙΑ ΔΙΟΙΚΗΣΗ ΚΑΙ ΑΜΥΝΑ· ΥΠΟΧΡΕΩΤΙΚΗ ΚΟΙΝΩΝΙΚΗ ΑΣΦΑΛΙΣΗ  </t>
  </si>
  <si>
    <t>ΕΚΠΑΙΔΕΥΣΗ  </t>
  </si>
  <si>
    <t>ΔΡΑΣΤΗΡΙΟΤΗΤΕΣ ΣΧΕΤΙΚΕΣ ΜΕ ΤΗΝ ΑΝΘΡΩΠΙΝΗ ΥΓΕΙΑ ΚΑΙ ΤΗΝ ΚΟΙΝΩΝΙΚΗ ΜΕΡΙΜΝΑ  </t>
  </si>
  <si>
    <t>ΤΕΧΝΕΣ, ΔΙΑΣΚΕΔΑΣΗ ΚΑΙ ΨΥΧΑΓΩΓΙΑ  </t>
  </si>
  <si>
    <t>ΑΛΛΕΣ ΔΡΑΣΤΗΡΙΟΤΗΤΕΣ ΠΑΡΟΧΗΣ ΥΠΗΡΕΣΙΩΝ  </t>
  </si>
  <si>
    <t>Αγνωστη Δραστηριότητα</t>
  </si>
  <si>
    <t>ΔΕ ΧΙΟΥ</t>
  </si>
  <si>
    <t>ΔΕ ΑΓ ΜΗΝΑ</t>
  </si>
  <si>
    <t>ΔΕ ΑΜΑΝΗΣ</t>
  </si>
  <si>
    <t>ΔΕ ΙΩΝΙΣ</t>
  </si>
  <si>
    <t>ΔΕ ΚΑΜΠΟΧΩΡΩΝ</t>
  </si>
  <si>
    <t>ΔΕ ΚΑΡΔΑΜΥΛΩΝ</t>
  </si>
  <si>
    <t>ΔΕ ΜΑΣΤΙΧΩΧΟΡΙΩΝ</t>
  </si>
  <si>
    <t>ΔΕ ΟΜΗΡΟΥΠΟΛΗΣ</t>
  </si>
  <si>
    <t>Δ. ΟΙΝΟΥΣΣΩΝ</t>
  </si>
  <si>
    <t>Δ.ΨΑΡΩΝ</t>
  </si>
  <si>
    <t/>
  </si>
  <si>
    <t>D.MEGISTIS</t>
  </si>
  <si>
    <t>Rhodes</t>
  </si>
  <si>
    <t>births</t>
  </si>
  <si>
    <t>deaths</t>
  </si>
  <si>
    <t>natural mouvement</t>
  </si>
  <si>
    <t>NM/pop</t>
  </si>
  <si>
    <t>PE XIOY</t>
  </si>
  <si>
    <t>1928-2021</t>
  </si>
  <si>
    <t>early school leavers</t>
  </si>
  <si>
    <t>born after 1/1/2016</t>
  </si>
  <si>
    <t>non greeks</t>
  </si>
  <si>
    <t>EU except greeks</t>
  </si>
  <si>
    <t xml:space="preserve">kastelorizo </t>
  </si>
  <si>
    <t>A</t>
  </si>
  <si>
    <t>AGRICULTURE, FORESTRY AND FISHING</t>
  </si>
  <si>
    <t>B</t>
  </si>
  <si>
    <t>MINING AND QUARRYING</t>
  </si>
  <si>
    <t>C</t>
  </si>
  <si>
    <t>MANUFACTURING</t>
  </si>
  <si>
    <t>D</t>
  </si>
  <si>
    <t>ELECTRICITY, GAS, STEAM AND AIR CONDITIONING SUPPLY</t>
  </si>
  <si>
    <t>E</t>
  </si>
  <si>
    <t>WATER SUPPLY; SEWERAGE, WASTE MANAGEMENT AND REMEDIATION ACTIVITIES</t>
  </si>
  <si>
    <t>F</t>
  </si>
  <si>
    <t>CONSTRUCTION</t>
  </si>
  <si>
    <t>G</t>
  </si>
  <si>
    <t>WHOLESALE AND RETAIL TRADE; REPAIR OF MOTOR VEHICLES AND MOTORCYCLES</t>
  </si>
  <si>
    <t>H</t>
  </si>
  <si>
    <t>TRANSPORTATION AND STORAGE</t>
  </si>
  <si>
    <t>I</t>
  </si>
  <si>
    <t>ACCOMMODATION AND FOOD SERVICE ACTIVITIES</t>
  </si>
  <si>
    <t>J</t>
  </si>
  <si>
    <t>INFORMATION AND COMMUNICATION</t>
  </si>
  <si>
    <t>K</t>
  </si>
  <si>
    <t>FINANCIAL AND INSURANCE ACTIVITIES</t>
  </si>
  <si>
    <t>L</t>
  </si>
  <si>
    <t>REAL ESTATE ACTIVITIES</t>
  </si>
  <si>
    <t>M</t>
  </si>
  <si>
    <t>PROFESSIONAL, SCIENTIFIC AND TECHNICAL ACTIVITIES</t>
  </si>
  <si>
    <t>N</t>
  </si>
  <si>
    <t>ADMINISTRATIVE AND SUPPORT SERVICE ACTIVITIES</t>
  </si>
  <si>
    <t>O</t>
  </si>
  <si>
    <t>PUBLIC ADMINISTRATION AND DEFENCE; COMPULSORY SOCIAL SECURITY</t>
  </si>
  <si>
    <t>P</t>
  </si>
  <si>
    <t>EDUCATION</t>
  </si>
  <si>
    <t>Q</t>
  </si>
  <si>
    <t>HUMAN HEALTH AND SOCIAL WORK ACTIVITIES</t>
  </si>
  <si>
    <t>R</t>
  </si>
  <si>
    <t>ARTS, ENTERTAINMENT AND RECREATION</t>
  </si>
  <si>
    <t>S</t>
  </si>
  <si>
    <t>OTHER SERVICE ACTIVITIES</t>
  </si>
  <si>
    <t>W</t>
  </si>
  <si>
    <t>UNKNOWN ACTIVITY</t>
  </si>
  <si>
    <t>Code 
NACE Rev. 2</t>
  </si>
  <si>
    <t xml:space="preserve">Oinousses </t>
  </si>
  <si>
    <t>Rhodos</t>
  </si>
  <si>
    <t>Greece c</t>
  </si>
  <si>
    <t>Greece CR</t>
  </si>
  <si>
    <t>Chios RU cr</t>
  </si>
  <si>
    <t>Chios RU c</t>
  </si>
  <si>
    <t>Oinousses cr</t>
  </si>
  <si>
    <t>Psara cr</t>
  </si>
  <si>
    <t>Kastelorizo cr</t>
  </si>
  <si>
    <t>Prodos cr</t>
  </si>
  <si>
    <t>Συνολο</t>
  </si>
  <si>
    <t>no of companies</t>
  </si>
  <si>
    <t xml:space="preserve">turnover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</si>
</sst>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#,##0.0"/>
    <numFmt numFmtId="165" formatCode="0.0"/>
    <numFmt numFmtId="166" formatCode="0.000"/>
  </numFmts>
  <fonts count="77" x14ac:knownFonts="1">
    <font>
      <sz val="11"/>
      <color theme="1"/>
      <name val="Aptos Narrow"/>
      <family val="2"/>
      <charset val="161"/>
      <scheme val="minor"/>
    </font>
    <font>
      <sz val="11"/>
      <color rgb="FFFF0000"/>
      <name val="Aptos Narrow"/>
      <family val="2"/>
      <charset val="161"/>
      <scheme val="minor"/>
    </font>
    <font>
      <b/>
      <sz val="9"/>
      <name val="Aptos Narrow"/>
      <family val="2"/>
      <charset val="161"/>
      <scheme val="minor"/>
    </font>
    <font>
      <b/>
      <sz val="11"/>
      <color rgb="FFFF0000"/>
      <name val="Aptos Narrow"/>
      <family val="2"/>
      <scheme val="minor"/>
    </font>
    <font>
      <sz val="8"/>
      <name val="Arial Greek"/>
      <family val="2"/>
      <charset val="161"/>
    </font>
    <font>
      <sz val="10"/>
      <name val="Arial Greek"/>
      <charset val="161"/>
    </font>
    <font>
      <b/>
      <sz val="8"/>
      <name val="Arial"/>
      <family val="2"/>
    </font>
    <font>
      <sz val="8"/>
      <name val="Arial"/>
      <family val="2"/>
    </font>
    <font>
      <sz val="8"/>
      <name val="Arial"/>
      <family val="2"/>
      <charset val="161"/>
    </font>
    <font>
      <sz val="11"/>
      <color theme="1"/>
      <name val="Aptos Narrow"/>
      <family val="2"/>
      <charset val="161"/>
      <scheme val="minor"/>
    </font>
    <font>
      <sz val="10"/>
      <name val="Arial"/>
      <family val="2"/>
      <charset val="161"/>
    </font>
    <font>
      <b/>
      <sz val="8"/>
      <name val="Arial"/>
      <family val="2"/>
      <charset val="161"/>
    </font>
    <font>
      <sz val="9"/>
      <name val="Arial"/>
      <family val="2"/>
      <charset val="161"/>
    </font>
    <font>
      <b/>
      <sz val="9"/>
      <name val="Arial"/>
      <family val="2"/>
      <charset val="161"/>
    </font>
    <font>
      <sz val="9"/>
      <color theme="1"/>
      <name val="Aptos Narrow"/>
      <family val="2"/>
      <charset val="161"/>
      <scheme val="minor"/>
    </font>
    <font>
      <sz val="11"/>
      <color theme="1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  <font>
      <b/>
      <sz val="9"/>
      <color theme="1"/>
      <name val="Aptos Narrow"/>
      <family val="2"/>
      <charset val="161"/>
      <scheme val="minor"/>
    </font>
    <font>
      <sz val="10"/>
      <name val="Aptos Narrow"/>
      <family val="2"/>
      <charset val="161"/>
      <scheme val="minor"/>
    </font>
    <font>
      <sz val="10"/>
      <color indexed="8"/>
      <name val="Aptos Narrow"/>
      <family val="2"/>
      <charset val="161"/>
      <scheme val="minor"/>
    </font>
    <font>
      <b/>
      <sz val="10"/>
      <name val="Aptos Narrow"/>
      <family val="2"/>
      <charset val="161"/>
      <scheme val="minor"/>
    </font>
    <font>
      <b/>
      <sz val="10"/>
      <color indexed="8"/>
      <name val="Aptos Narrow"/>
      <family val="2"/>
      <charset val="161"/>
      <scheme val="minor"/>
    </font>
    <font>
      <sz val="9"/>
      <color theme="1"/>
      <name val="Aptos"/>
      <family val="2"/>
    </font>
    <font>
      <sz val="11"/>
      <name val="Aptos Narrow"/>
      <family val="2"/>
      <charset val="161"/>
      <scheme val="minor"/>
    </font>
    <font>
      <sz val="9"/>
      <color indexed="8"/>
      <name val="Aptos Narrow"/>
      <family val="2"/>
      <charset val="161"/>
      <scheme val="minor"/>
    </font>
    <font>
      <sz val="9"/>
      <color indexed="64"/>
      <name val="Arial"/>
      <family val="2"/>
      <charset val="161"/>
    </font>
    <font>
      <sz val="9"/>
      <name val="Aptos Narrow"/>
      <family val="2"/>
      <charset val="161"/>
      <scheme val="minor"/>
    </font>
    <font>
      <sz val="9"/>
      <color rgb="FFFF0000"/>
      <name val="Aptos Narrow"/>
      <family val="2"/>
      <charset val="161"/>
      <scheme val="minor"/>
    </font>
    <font>
      <b/>
      <sz val="9"/>
      <color indexed="8"/>
      <name val="Aptos Narrow"/>
      <family val="2"/>
      <charset val="161"/>
      <scheme val="minor"/>
    </font>
    <font>
      <sz val="9"/>
      <color indexed="8"/>
      <name val="Arial"/>
      <family val="2"/>
      <charset val="161"/>
    </font>
    <font>
      <sz val="11"/>
      <color rgb="FFFF0000"/>
      <name val="Aptos Narrow"/>
      <family val="2"/>
      <scheme val="minor"/>
    </font>
    <font>
      <i/>
      <sz val="11"/>
      <color theme="1"/>
      <name val="Aptos Narrow"/>
      <family val="2"/>
      <scheme val="minor"/>
    </font>
    <font>
      <sz val="10"/>
      <name val="Arial"/>
      <family val="2"/>
    </font>
    <font>
      <sz val="9"/>
      <color theme="1"/>
      <name val="Aptos Narrow"/>
      <family val="2"/>
      <scheme val="minor"/>
    </font>
    <font>
      <i/>
      <sz val="9"/>
      <color theme="1"/>
      <name val="Aptos Narrow"/>
      <family val="2"/>
      <scheme val="minor"/>
    </font>
    <font>
      <b/>
      <sz val="10"/>
      <color theme="1"/>
      <name val="Aptos Narrow"/>
      <family val="2"/>
      <charset val="161"/>
      <scheme val="minor"/>
    </font>
    <font>
      <sz val="10"/>
      <color theme="1"/>
      <name val="Aptos Narrow"/>
      <family val="2"/>
      <charset val="161"/>
      <scheme val="minor"/>
    </font>
    <font>
      <b/>
      <sz val="8"/>
      <name val="Aptos Narrow"/>
      <family val="2"/>
      <charset val="161"/>
      <scheme val="minor"/>
    </font>
    <font>
      <sz val="8"/>
      <name val="Aptos Narrow"/>
      <family val="2"/>
      <charset val="161"/>
      <scheme val="minor"/>
    </font>
    <font>
      <sz val="12"/>
      <color theme="1"/>
      <name val="Calibri"/>
      <family val="2"/>
      <charset val="161"/>
    </font>
    <font>
      <sz val="9"/>
      <color rgb="FF000000"/>
      <name val="Calibri"/>
      <family val="2"/>
      <charset val="161"/>
    </font>
    <font>
      <b/>
      <sz val="11"/>
      <color rgb="FF000000"/>
      <name val="Calibri"/>
      <family val="2"/>
      <charset val="161"/>
    </font>
    <font>
      <sz val="11"/>
      <color rgb="FF000000"/>
      <name val="Calibri"/>
      <family val="2"/>
      <charset val="161"/>
    </font>
    <font>
      <b/>
      <sz val="11"/>
      <color theme="0"/>
      <name val="Aptos Narrow"/>
      <family val="2"/>
      <charset val="161"/>
      <scheme val="minor"/>
    </font>
    <font>
      <sz val="11"/>
      <color theme="0"/>
      <name val="Aptos Narrow"/>
      <family val="2"/>
      <charset val="161"/>
      <scheme val="minor"/>
    </font>
    <font>
      <sz val="11"/>
      <color indexed="8"/>
      <name val="Aptos Narrow"/>
      <family val="2"/>
      <scheme val="minor"/>
    </font>
    <font>
      <sz val="11"/>
      <color indexed="8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1"/>
      <name val="Calibri"/>
      <family val="2"/>
      <charset val="161"/>
    </font>
    <font>
      <sz val="11"/>
      <name val="Calibri"/>
      <family val="2"/>
      <charset val="161"/>
    </font>
    <font>
      <sz val="10"/>
      <color indexed="64"/>
      <name val="Arial"/>
      <family val="2"/>
      <charset val="161"/>
    </font>
    <font>
      <b/>
      <sz val="10"/>
      <color indexed="8"/>
      <name val="Calibri"/>
      <family val="2"/>
      <charset val="161"/>
    </font>
    <font>
      <b/>
      <sz val="10"/>
      <name val="Calibri"/>
      <family val="2"/>
      <charset val="161"/>
    </font>
    <font>
      <b/>
      <sz val="9"/>
      <name val="Calibri"/>
      <family val="2"/>
      <charset val="161"/>
    </font>
    <font>
      <sz val="9"/>
      <color indexed="8"/>
      <name val="Calibri"/>
      <family val="2"/>
      <charset val="161"/>
    </font>
    <font>
      <sz val="9"/>
      <name val="Calibri"/>
      <family val="2"/>
      <charset val="161"/>
    </font>
    <font>
      <sz val="10"/>
      <name val="Calibri"/>
      <family val="2"/>
      <charset val="161"/>
    </font>
    <font>
      <u/>
      <sz val="10"/>
      <color indexed="12"/>
      <name val="Arial"/>
      <family val="2"/>
    </font>
    <font>
      <b/>
      <sz val="8"/>
      <color indexed="8"/>
      <name val="Calibri"/>
      <family val="2"/>
      <charset val="161"/>
    </font>
    <font>
      <sz val="10"/>
      <color indexed="8"/>
      <name val="Arial"/>
      <family val="2"/>
      <charset val="161"/>
    </font>
    <font>
      <sz val="11"/>
      <color indexed="8"/>
      <name val="Aptos Narrow"/>
      <family val="2"/>
      <charset val="161"/>
      <scheme val="minor"/>
    </font>
    <font>
      <b/>
      <sz val="11"/>
      <color indexed="9"/>
      <name val="Aptos Narrow"/>
      <family val="2"/>
      <charset val="161"/>
      <scheme val="minor"/>
    </font>
    <font>
      <b/>
      <sz val="11"/>
      <color indexed="8"/>
      <name val="Aptos Narrow"/>
      <family val="2"/>
      <charset val="161"/>
      <scheme val="minor"/>
    </font>
    <font>
      <sz val="10"/>
      <color indexed="8"/>
      <name val="Calibri"/>
      <family val="2"/>
      <charset val="161"/>
    </font>
    <font>
      <b/>
      <sz val="11"/>
      <color theme="1"/>
      <name val="Aptos Narrow"/>
      <family val="2"/>
      <charset val="161"/>
      <scheme val="minor"/>
    </font>
    <font>
      <sz val="8"/>
      <color indexed="8"/>
      <name val="Calibri"/>
      <family val="2"/>
      <charset val="161"/>
    </font>
    <font>
      <sz val="8"/>
      <color theme="1"/>
      <name val="Aptos Narrow"/>
      <family val="2"/>
      <charset val="161"/>
      <scheme val="minor"/>
    </font>
    <font>
      <sz val="7"/>
      <color indexed="8"/>
      <name val="Calibri"/>
      <family val="2"/>
      <charset val="161"/>
    </font>
    <font>
      <sz val="7"/>
      <color theme="1"/>
      <name val="Aptos Narrow"/>
      <family val="2"/>
      <charset val="161"/>
      <scheme val="minor"/>
    </font>
    <font>
      <sz val="7"/>
      <color rgb="FF000000"/>
      <name val="Aptos Narrow"/>
      <family val="2"/>
      <charset val="161"/>
      <scheme val="minor"/>
    </font>
    <font>
      <sz val="7"/>
      <color rgb="FF000000"/>
      <name val="Arial"/>
      <family val="2"/>
      <charset val="161"/>
    </font>
    <font>
      <sz val="9"/>
      <color rgb="FF000000"/>
      <name val="Aptos Narrow"/>
      <family val="2"/>
      <charset val="161"/>
      <scheme val="minor"/>
    </font>
    <font>
      <sz val="9"/>
      <color rgb="FF000000"/>
      <name val="Arial"/>
      <family val="2"/>
      <charset val="161"/>
    </font>
    <font>
      <sz val="9"/>
      <color theme="1"/>
      <name val="Calibri"/>
      <family val="2"/>
      <charset val="161"/>
    </font>
    <font>
      <b/>
      <sz val="9"/>
      <color rgb="FF000000"/>
      <name val="Calibri"/>
      <family val="2"/>
      <charset val="161"/>
    </font>
    <font>
      <b/>
      <sz val="9"/>
      <color rgb="FF000000"/>
      <name val="Aptos Narrow"/>
      <family val="2"/>
      <charset val="161"/>
      <scheme val="minor"/>
    </font>
  </fonts>
  <fills count="2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indexed="3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ACB9CA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7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8DB4E2"/>
        <bgColor rgb="FFC0C0C0"/>
      </patternFill>
    </fill>
    <fill>
      <patternFill patternType="solid">
        <fgColor theme="3" tint="0.89999084444715716"/>
        <bgColor indexed="64"/>
      </patternFill>
    </fill>
  </fills>
  <borders count="28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</borders>
  <cellStyleXfs count="22">
    <xf numFmtId="0" fontId="0" fillId="0" borderId="0"/>
    <xf numFmtId="0" fontId="5" fillId="0" borderId="0" applyBorder="0"/>
    <xf numFmtId="0" fontId="10" fillId="0" borderId="0"/>
    <xf numFmtId="43" fontId="10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43" fontId="9" fillId="0" borderId="0" applyFont="0" applyFill="0" applyBorder="0" applyAlignment="0" applyProtection="0"/>
    <xf numFmtId="0" fontId="10" fillId="0" borderId="0"/>
    <xf numFmtId="0" fontId="45" fillId="10" borderId="0" applyNumberFormat="0" applyBorder="0" applyAlignment="0" applyProtection="0"/>
    <xf numFmtId="0" fontId="45" fillId="11" borderId="0" applyNumberFormat="0" applyBorder="0" applyAlignment="0" applyProtection="0"/>
    <xf numFmtId="0" fontId="45" fillId="12" borderId="0" applyNumberFormat="0" applyBorder="0" applyAlignment="0" applyProtection="0"/>
    <xf numFmtId="0" fontId="46" fillId="0" borderId="0"/>
    <xf numFmtId="0" fontId="10" fillId="0" borderId="0"/>
    <xf numFmtId="0" fontId="51" fillId="0" borderId="0"/>
    <xf numFmtId="0" fontId="58" fillId="0" borderId="0" applyNumberFormat="0" applyFill="0" applyBorder="0" applyAlignment="0" applyProtection="0">
      <alignment vertical="top"/>
      <protection locked="0"/>
    </xf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47" fillId="0" borderId="0"/>
    <xf numFmtId="0" fontId="60" fillId="0" borderId="0"/>
  </cellStyleXfs>
  <cellXfs count="24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1" xfId="0" applyBorder="1"/>
    <xf numFmtId="0" fontId="2" fillId="0" borderId="2" xfId="0" applyFont="1" applyBorder="1" applyAlignment="1">
      <alignment horizontal="center" vertical="center" wrapText="1"/>
    </xf>
    <xf numFmtId="0" fontId="0" fillId="0" borderId="2" xfId="0" applyBorder="1"/>
    <xf numFmtId="0" fontId="3" fillId="0" borderId="0" xfId="0" applyFont="1"/>
    <xf numFmtId="0" fontId="3" fillId="0" borderId="1" xfId="0" applyFont="1" applyBorder="1"/>
    <xf numFmtId="0" fontId="3" fillId="0" borderId="2" xfId="0" applyFont="1" applyBorder="1"/>
    <xf numFmtId="2" fontId="0" fillId="0" borderId="0" xfId="0" applyNumberFormat="1"/>
    <xf numFmtId="2" fontId="1" fillId="0" borderId="0" xfId="0" applyNumberFormat="1" applyFont="1"/>
    <xf numFmtId="0" fontId="0" fillId="0" borderId="3" xfId="0" applyBorder="1"/>
    <xf numFmtId="0" fontId="6" fillId="0" borderId="3" xfId="1" applyFont="1" applyBorder="1" applyAlignment="1">
      <alignment horizontal="center" vertical="top"/>
    </xf>
    <xf numFmtId="0" fontId="2" fillId="0" borderId="3" xfId="0" applyFont="1" applyBorder="1" applyAlignment="1">
      <alignment horizontal="center"/>
    </xf>
    <xf numFmtId="3" fontId="6" fillId="0" borderId="3" xfId="1" applyNumberFormat="1" applyFont="1" applyBorder="1" applyAlignment="1">
      <alignment horizontal="center"/>
    </xf>
    <xf numFmtId="0" fontId="4" fillId="0" borderId="3" xfId="0" applyFont="1" applyBorder="1" applyAlignment="1">
      <alignment wrapText="1"/>
    </xf>
    <xf numFmtId="3" fontId="7" fillId="0" borderId="3" xfId="1" applyNumberFormat="1" applyFont="1" applyBorder="1" applyAlignment="1">
      <alignment horizontal="center"/>
    </xf>
    <xf numFmtId="3" fontId="8" fillId="0" borderId="3" xfId="1" applyNumberFormat="1" applyFont="1" applyBorder="1" applyAlignment="1">
      <alignment horizontal="center"/>
    </xf>
    <xf numFmtId="0" fontId="4" fillId="0" borderId="3" xfId="0" applyFont="1" applyBorder="1" applyAlignment="1">
      <alignment horizontal="left" wrapText="1"/>
    </xf>
    <xf numFmtId="0" fontId="6" fillId="0" borderId="4" xfId="1" applyFont="1" applyBorder="1" applyAlignment="1">
      <alignment horizontal="center" vertical="top"/>
    </xf>
    <xf numFmtId="0" fontId="6" fillId="0" borderId="5" xfId="1" quotePrefix="1" applyFont="1" applyBorder="1" applyAlignment="1">
      <alignment horizontal="center" vertical="top"/>
    </xf>
    <xf numFmtId="0" fontId="7" fillId="0" borderId="5" xfId="2" applyFont="1" applyBorder="1" applyAlignment="1">
      <alignment horizontal="right"/>
    </xf>
    <xf numFmtId="3" fontId="6" fillId="0" borderId="6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11" fillId="0" borderId="0" xfId="1" applyFont="1" applyBorder="1"/>
    <xf numFmtId="3" fontId="7" fillId="0" borderId="7" xfId="1" applyNumberFormat="1" applyFont="1" applyBorder="1" applyAlignment="1">
      <alignment horizontal="center"/>
    </xf>
    <xf numFmtId="3" fontId="8" fillId="0" borderId="7" xfId="1" applyNumberFormat="1" applyFont="1" applyBorder="1" applyAlignment="1">
      <alignment horizontal="center"/>
    </xf>
    <xf numFmtId="3" fontId="8" fillId="0" borderId="0" xfId="1" applyNumberFormat="1" applyFont="1" applyBorder="1" applyAlignment="1">
      <alignment horizontal="center"/>
    </xf>
    <xf numFmtId="3" fontId="7" fillId="0" borderId="0" xfId="1" applyNumberFormat="1" applyFont="1" applyBorder="1" applyAlignment="1">
      <alignment horizontal="center"/>
    </xf>
    <xf numFmtId="0" fontId="4" fillId="0" borderId="0" xfId="0" applyFont="1" applyAlignment="1">
      <alignment wrapText="1"/>
    </xf>
    <xf numFmtId="3" fontId="12" fillId="2" borderId="7" xfId="0" applyNumberFormat="1" applyFont="1" applyFill="1" applyBorder="1"/>
    <xf numFmtId="3" fontId="12" fillId="2" borderId="4" xfId="0" applyNumberFormat="1" applyFont="1" applyFill="1" applyBorder="1"/>
    <xf numFmtId="165" fontId="0" fillId="0" borderId="0" xfId="0" applyNumberFormat="1"/>
    <xf numFmtId="164" fontId="13" fillId="2" borderId="0" xfId="0" applyNumberFormat="1" applyFont="1" applyFill="1"/>
    <xf numFmtId="3" fontId="12" fillId="2" borderId="0" xfId="0" applyNumberFormat="1" applyFont="1" applyFill="1"/>
    <xf numFmtId="164" fontId="12" fillId="0" borderId="8" xfId="0" applyNumberFormat="1" applyFont="1" applyBorder="1"/>
    <xf numFmtId="164" fontId="13" fillId="2" borderId="9" xfId="0" applyNumberFormat="1" applyFont="1" applyFill="1" applyBorder="1"/>
    <xf numFmtId="164" fontId="12" fillId="0" borderId="9" xfId="0" applyNumberFormat="1" applyFont="1" applyBorder="1"/>
    <xf numFmtId="0" fontId="14" fillId="0" borderId="0" xfId="0" applyFont="1"/>
    <xf numFmtId="0" fontId="14" fillId="0" borderId="0" xfId="0" applyFont="1" applyAlignment="1">
      <alignment wrapText="1"/>
    </xf>
    <xf numFmtId="0" fontId="16" fillId="0" borderId="3" xfId="1" applyFont="1" applyBorder="1"/>
    <xf numFmtId="0" fontId="17" fillId="0" borderId="3" xfId="0" applyFont="1" applyBorder="1" applyAlignment="1">
      <alignment wrapText="1"/>
    </xf>
    <xf numFmtId="0" fontId="18" fillId="0" borderId="0" xfId="0" applyFont="1"/>
    <xf numFmtId="165" fontId="14" fillId="0" borderId="0" xfId="0" applyNumberFormat="1" applyFont="1"/>
    <xf numFmtId="0" fontId="19" fillId="3" borderId="0" xfId="7" applyFont="1" applyFill="1"/>
    <xf numFmtId="0" fontId="20" fillId="0" borderId="14" xfId="0" applyFont="1" applyBorder="1" applyAlignment="1">
      <alignment horizontal="right" wrapText="1"/>
    </xf>
    <xf numFmtId="0" fontId="19" fillId="0" borderId="0" xfId="7" applyFont="1"/>
    <xf numFmtId="0" fontId="19" fillId="0" borderId="0" xfId="7" quotePrefix="1" applyFont="1" applyAlignment="1">
      <alignment horizontal="left"/>
    </xf>
    <xf numFmtId="0" fontId="21" fillId="4" borderId="0" xfId="7" applyFont="1" applyFill="1"/>
    <xf numFmtId="0" fontId="22" fillId="4" borderId="14" xfId="0" applyFont="1" applyFill="1" applyBorder="1" applyAlignment="1">
      <alignment horizontal="right" wrapText="1"/>
    </xf>
    <xf numFmtId="0" fontId="25" fillId="0" borderId="0" xfId="0" applyFont="1" applyAlignment="1">
      <alignment horizontal="right"/>
    </xf>
    <xf numFmtId="0" fontId="26" fillId="0" borderId="0" xfId="0" applyFont="1"/>
    <xf numFmtId="0" fontId="27" fillId="0" borderId="0" xfId="0" applyFont="1" applyAlignment="1">
      <alignment horizontal="right"/>
    </xf>
    <xf numFmtId="0" fontId="28" fillId="0" borderId="0" xfId="0" applyFont="1" applyAlignment="1">
      <alignment horizontal="right"/>
    </xf>
    <xf numFmtId="0" fontId="29" fillId="0" borderId="0" xfId="0" applyFont="1" applyAlignment="1">
      <alignment horizontal="right"/>
    </xf>
    <xf numFmtId="0" fontId="25" fillId="0" borderId="0" xfId="0" applyFont="1" applyAlignment="1">
      <alignment horizontal="right" wrapText="1"/>
    </xf>
    <xf numFmtId="0" fontId="30" fillId="0" borderId="0" xfId="0" applyFont="1" applyAlignment="1">
      <alignment horizontal="right" wrapText="1"/>
    </xf>
    <xf numFmtId="0" fontId="25" fillId="0" borderId="15" xfId="0" applyFont="1" applyBorder="1" applyAlignment="1">
      <alignment horizontal="right"/>
    </xf>
    <xf numFmtId="164" fontId="14" fillId="0" borderId="0" xfId="0" applyNumberFormat="1" applyFont="1"/>
    <xf numFmtId="1" fontId="14" fillId="0" borderId="0" xfId="0" applyNumberFormat="1" applyFont="1"/>
    <xf numFmtId="165" fontId="14" fillId="0" borderId="0" xfId="0" applyNumberFormat="1" applyFont="1" applyAlignment="1">
      <alignment horizontal="left" indent="7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31" fillId="0" borderId="0" xfId="0" applyFont="1" applyAlignment="1">
      <alignment wrapText="1"/>
    </xf>
    <xf numFmtId="0" fontId="24" fillId="0" borderId="0" xfId="0" applyFont="1" applyAlignment="1">
      <alignment wrapText="1"/>
    </xf>
    <xf numFmtId="0" fontId="32" fillId="0" borderId="0" xfId="0" applyFont="1" applyAlignment="1">
      <alignment wrapText="1"/>
    </xf>
    <xf numFmtId="0" fontId="23" fillId="0" borderId="3" xfId="0" applyFont="1" applyBorder="1" applyAlignment="1">
      <alignment horizontal="justify" vertical="center" wrapText="1"/>
    </xf>
    <xf numFmtId="0" fontId="19" fillId="0" borderId="3" xfId="7" applyFont="1" applyBorder="1" applyAlignment="1">
      <alignment wrapText="1"/>
    </xf>
    <xf numFmtId="3" fontId="33" fillId="0" borderId="6" xfId="0" applyNumberFormat="1" applyFont="1" applyBorder="1"/>
    <xf numFmtId="3" fontId="33" fillId="0" borderId="7" xfId="0" applyNumberFormat="1" applyFont="1" applyBorder="1"/>
    <xf numFmtId="3" fontId="33" fillId="0" borderId="3" xfId="0" applyNumberFormat="1" applyFont="1" applyBorder="1"/>
    <xf numFmtId="0" fontId="34" fillId="0" borderId="3" xfId="0" applyFont="1" applyBorder="1"/>
    <xf numFmtId="0" fontId="35" fillId="0" borderId="3" xfId="0" applyFont="1" applyBorder="1"/>
    <xf numFmtId="0" fontId="34" fillId="0" borderId="3" xfId="0" applyFont="1" applyBorder="1" applyAlignment="1">
      <alignment wrapText="1"/>
    </xf>
    <xf numFmtId="0" fontId="34" fillId="0" borderId="0" xfId="0" applyFont="1"/>
    <xf numFmtId="0" fontId="34" fillId="0" borderId="0" xfId="0" applyFont="1" applyAlignment="1">
      <alignment wrapText="1"/>
    </xf>
    <xf numFmtId="165" fontId="15" fillId="0" borderId="3" xfId="0" applyNumberFormat="1" applyFont="1" applyBorder="1"/>
    <xf numFmtId="165" fontId="32" fillId="0" borderId="3" xfId="0" applyNumberFormat="1" applyFont="1" applyBorder="1"/>
    <xf numFmtId="49" fontId="36" fillId="0" borderId="3" xfId="0" applyNumberFormat="1" applyFont="1" applyBorder="1"/>
    <xf numFmtId="49" fontId="37" fillId="0" borderId="3" xfId="0" applyNumberFormat="1" applyFont="1" applyBorder="1"/>
    <xf numFmtId="0" fontId="39" fillId="0" borderId="3" xfId="0" applyFont="1" applyBorder="1" applyAlignment="1">
      <alignment horizontal="center" vertical="center" wrapText="1"/>
    </xf>
    <xf numFmtId="0" fontId="39" fillId="5" borderId="3" xfId="0" applyFont="1" applyFill="1" applyBorder="1" applyAlignment="1">
      <alignment horizontal="center" vertical="center" wrapText="1"/>
    </xf>
    <xf numFmtId="166" fontId="0" fillId="0" borderId="0" xfId="0" applyNumberFormat="1"/>
    <xf numFmtId="0" fontId="40" fillId="0" borderId="10" xfId="0" applyFont="1" applyBorder="1"/>
    <xf numFmtId="0" fontId="41" fillId="0" borderId="11" xfId="0" applyFont="1" applyBorder="1" applyAlignment="1">
      <alignment horizontal="left" vertical="center" wrapText="1"/>
    </xf>
    <xf numFmtId="0" fontId="41" fillId="0" borderId="12" xfId="0" applyFont="1" applyBorder="1" applyAlignment="1">
      <alignment horizontal="left" vertical="center"/>
    </xf>
    <xf numFmtId="0" fontId="41" fillId="0" borderId="13" xfId="0" applyFont="1" applyBorder="1" applyAlignment="1">
      <alignment horizontal="left" vertical="center"/>
    </xf>
    <xf numFmtId="0" fontId="40" fillId="0" borderId="13" xfId="0" applyFont="1" applyBorder="1"/>
    <xf numFmtId="0" fontId="41" fillId="0" borderId="13" xfId="0" applyFont="1" applyBorder="1" applyAlignment="1">
      <alignment horizontal="right" vertical="center"/>
    </xf>
    <xf numFmtId="0" fontId="41" fillId="0" borderId="20" xfId="0" applyFont="1" applyBorder="1" applyAlignment="1">
      <alignment horizontal="left" vertical="center" wrapText="1"/>
    </xf>
    <xf numFmtId="0" fontId="41" fillId="0" borderId="21" xfId="0" applyFont="1" applyBorder="1" applyAlignment="1">
      <alignment horizontal="left" vertical="center" wrapText="1"/>
    </xf>
    <xf numFmtId="0" fontId="41" fillId="0" borderId="13" xfId="0" applyFont="1" applyBorder="1" applyAlignment="1">
      <alignment horizontal="left" vertical="center" wrapText="1"/>
    </xf>
    <xf numFmtId="0" fontId="41" fillId="0" borderId="13" xfId="0" applyFont="1" applyBorder="1" applyAlignment="1">
      <alignment horizontal="right" vertical="center" wrapText="1"/>
    </xf>
    <xf numFmtId="0" fontId="43" fillId="0" borderId="13" xfId="0" applyFont="1" applyBorder="1" applyAlignment="1">
      <alignment horizontal="right" vertical="center"/>
    </xf>
    <xf numFmtId="3" fontId="54" fillId="0" borderId="0" xfId="11" applyNumberFormat="1" applyFont="1" applyAlignment="1">
      <alignment horizontal="right"/>
    </xf>
    <xf numFmtId="0" fontId="55" fillId="0" borderId="0" xfId="11" applyFont="1"/>
    <xf numFmtId="3" fontId="56" fillId="0" borderId="0" xfId="11" applyNumberFormat="1" applyFont="1" applyAlignment="1">
      <alignment horizontal="right"/>
    </xf>
    <xf numFmtId="0" fontId="48" fillId="13" borderId="8" xfId="11" applyFont="1" applyFill="1" applyBorder="1" applyAlignment="1">
      <alignment horizontal="center" vertical="center"/>
    </xf>
    <xf numFmtId="3" fontId="50" fillId="0" borderId="0" xfId="11" applyNumberFormat="1" applyFont="1" applyAlignment="1">
      <alignment horizontal="right"/>
    </xf>
    <xf numFmtId="3" fontId="49" fillId="0" borderId="0" xfId="11" applyNumberFormat="1" applyFont="1" applyAlignment="1">
      <alignment horizontal="right"/>
    </xf>
    <xf numFmtId="3" fontId="49" fillId="0" borderId="0" xfId="13" applyNumberFormat="1" applyFont="1" applyAlignment="1">
      <alignment horizontal="right"/>
    </xf>
    <xf numFmtId="3" fontId="50" fillId="0" borderId="0" xfId="13" applyNumberFormat="1" applyFont="1" applyAlignment="1">
      <alignment horizontal="right"/>
    </xf>
    <xf numFmtId="0" fontId="27" fillId="0" borderId="3" xfId="0" applyFont="1" applyBorder="1"/>
    <xf numFmtId="0" fontId="2" fillId="0" borderId="3" xfId="0" applyFont="1" applyBorder="1"/>
    <xf numFmtId="3" fontId="0" fillId="0" borderId="0" xfId="0" applyNumberFormat="1"/>
    <xf numFmtId="3" fontId="59" fillId="14" borderId="3" xfId="11" applyNumberFormat="1" applyFont="1" applyFill="1" applyBorder="1" applyAlignment="1">
      <alignment horizontal="center" vertical="center"/>
    </xf>
    <xf numFmtId="3" fontId="59" fillId="14" borderId="3" xfId="11" applyNumberFormat="1" applyFont="1" applyFill="1" applyBorder="1" applyAlignment="1">
      <alignment horizontal="center" vertical="center" textRotation="90" wrapText="1"/>
    </xf>
    <xf numFmtId="0" fontId="55" fillId="0" borderId="22" xfId="15" applyFont="1" applyBorder="1" applyAlignment="1">
      <alignment horizontal="center"/>
    </xf>
    <xf numFmtId="0" fontId="60" fillId="0" borderId="3" xfId="0" applyFont="1" applyBorder="1" applyAlignment="1">
      <alignment horizontal="right" wrapText="1"/>
    </xf>
    <xf numFmtId="0" fontId="47" fillId="0" borderId="3" xfId="20" applyBorder="1"/>
    <xf numFmtId="0" fontId="0" fillId="21" borderId="3" xfId="0" applyFill="1" applyBorder="1"/>
    <xf numFmtId="0" fontId="44" fillId="12" borderId="3" xfId="10" applyFont="1" applyBorder="1" applyAlignment="1">
      <alignment horizontal="right"/>
    </xf>
    <xf numFmtId="0" fontId="62" fillId="10" borderId="3" xfId="8" applyFont="1" applyBorder="1" applyAlignment="1">
      <alignment horizontal="right" vertical="center"/>
    </xf>
    <xf numFmtId="0" fontId="62" fillId="11" borderId="3" xfId="9" applyFont="1" applyBorder="1" applyAlignment="1">
      <alignment horizontal="right" vertical="center"/>
    </xf>
    <xf numFmtId="0" fontId="44" fillId="17" borderId="3" xfId="10" applyFont="1" applyFill="1" applyBorder="1" applyAlignment="1">
      <alignment horizontal="right" vertical="center"/>
    </xf>
    <xf numFmtId="0" fontId="62" fillId="18" borderId="3" xfId="9" applyFont="1" applyFill="1" applyBorder="1" applyAlignment="1">
      <alignment horizontal="right" vertical="center"/>
    </xf>
    <xf numFmtId="0" fontId="63" fillId="19" borderId="3" xfId="0" applyFont="1" applyFill="1" applyBorder="1" applyAlignment="1">
      <alignment horizontal="right"/>
    </xf>
    <xf numFmtId="0" fontId="63" fillId="20" borderId="3" xfId="0" applyFont="1" applyFill="1" applyBorder="1" applyAlignment="1">
      <alignment horizontal="right"/>
    </xf>
    <xf numFmtId="0" fontId="24" fillId="0" borderId="3" xfId="0" applyFont="1" applyBorder="1" applyAlignment="1">
      <alignment horizontal="right"/>
    </xf>
    <xf numFmtId="0" fontId="61" fillId="0" borderId="3" xfId="0" applyFont="1" applyBorder="1" applyAlignment="1">
      <alignment horizontal="right"/>
    </xf>
    <xf numFmtId="0" fontId="27" fillId="0" borderId="4" xfId="0" applyFont="1" applyBorder="1"/>
    <xf numFmtId="0" fontId="2" fillId="0" borderId="4" xfId="0" applyFont="1" applyBorder="1"/>
    <xf numFmtId="3" fontId="56" fillId="0" borderId="3" xfId="11" applyNumberFormat="1" applyFont="1" applyBorder="1" applyAlignment="1">
      <alignment horizontal="right"/>
    </xf>
    <xf numFmtId="3" fontId="50" fillId="0" borderId="3" xfId="11" applyNumberFormat="1" applyFont="1" applyBorder="1" applyAlignment="1">
      <alignment horizontal="right"/>
    </xf>
    <xf numFmtId="0" fontId="37" fillId="0" borderId="3" xfId="0" applyFont="1" applyBorder="1"/>
    <xf numFmtId="0" fontId="53" fillId="13" borderId="3" xfId="11" applyFont="1" applyFill="1" applyBorder="1" applyAlignment="1">
      <alignment horizontal="center" vertical="center" wrapText="1"/>
    </xf>
    <xf numFmtId="0" fontId="52" fillId="13" borderId="3" xfId="11" applyFont="1" applyFill="1" applyBorder="1" applyAlignment="1">
      <alignment horizontal="center" vertical="center"/>
    </xf>
    <xf numFmtId="0" fontId="64" fillId="0" borderId="3" xfId="11" applyFont="1" applyBorder="1"/>
    <xf numFmtId="3" fontId="57" fillId="0" borderId="3" xfId="11" applyNumberFormat="1" applyFont="1" applyBorder="1" applyAlignment="1">
      <alignment horizontal="right"/>
    </xf>
    <xf numFmtId="3" fontId="53" fillId="0" borderId="3" xfId="11" applyNumberFormat="1" applyFont="1" applyBorder="1" applyAlignment="1">
      <alignment horizontal="right"/>
    </xf>
    <xf numFmtId="165" fontId="37" fillId="0" borderId="3" xfId="0" applyNumberFormat="1" applyFont="1" applyBorder="1"/>
    <xf numFmtId="0" fontId="0" fillId="22" borderId="3" xfId="0" applyFill="1" applyBorder="1"/>
    <xf numFmtId="165" fontId="0" fillId="0" borderId="3" xfId="0" applyNumberFormat="1" applyBorder="1"/>
    <xf numFmtId="165" fontId="0" fillId="0" borderId="3" xfId="0" applyNumberFormat="1" applyBorder="1" applyAlignment="1">
      <alignment horizontal="right"/>
    </xf>
    <xf numFmtId="3" fontId="0" fillId="0" borderId="3" xfId="0" applyNumberFormat="1" applyBorder="1"/>
    <xf numFmtId="0" fontId="24" fillId="0" borderId="3" xfId="0" applyFont="1" applyBorder="1"/>
    <xf numFmtId="165" fontId="24" fillId="0" borderId="3" xfId="0" applyNumberFormat="1" applyFont="1" applyBorder="1" applyAlignment="1">
      <alignment horizontal="right" vertical="center"/>
    </xf>
    <xf numFmtId="0" fontId="0" fillId="0" borderId="3" xfId="0" applyBorder="1" applyAlignment="1">
      <alignment horizontal="right"/>
    </xf>
    <xf numFmtId="0" fontId="55" fillId="0" borderId="3" xfId="11" applyFont="1" applyBorder="1"/>
    <xf numFmtId="3" fontId="54" fillId="0" borderId="3" xfId="11" applyNumberFormat="1" applyFont="1" applyBorder="1" applyAlignment="1">
      <alignment horizontal="right"/>
    </xf>
    <xf numFmtId="0" fontId="47" fillId="13" borderId="3" xfId="11" applyFont="1" applyFill="1" applyBorder="1" applyAlignment="1">
      <alignment horizontal="center" vertical="center"/>
    </xf>
    <xf numFmtId="0" fontId="47" fillId="13" borderId="3" xfId="11" applyFont="1" applyFill="1" applyBorder="1" applyAlignment="1">
      <alignment horizontal="center" vertical="center" wrapText="1"/>
    </xf>
    <xf numFmtId="14" fontId="0" fillId="0" borderId="3" xfId="0" applyNumberFormat="1" applyBorder="1" applyAlignment="1">
      <alignment wrapText="1"/>
    </xf>
    <xf numFmtId="3" fontId="49" fillId="0" borderId="0" xfId="0" applyNumberFormat="1" applyFont="1" applyAlignment="1">
      <alignment horizontal="right"/>
    </xf>
    <xf numFmtId="3" fontId="50" fillId="0" borderId="0" xfId="0" applyNumberFormat="1" applyFont="1" applyAlignment="1">
      <alignment horizontal="right"/>
    </xf>
    <xf numFmtId="0" fontId="24" fillId="0" borderId="3" xfId="0" applyFont="1" applyBorder="1" applyAlignment="1">
      <alignment horizontal="center" vertical="center" wrapText="1"/>
    </xf>
    <xf numFmtId="0" fontId="24" fillId="16" borderId="3" xfId="0" applyFont="1" applyFill="1" applyBorder="1" applyAlignment="1">
      <alignment horizontal="center" vertical="center" wrapText="1"/>
    </xf>
    <xf numFmtId="3" fontId="24" fillId="0" borderId="3" xfId="14" applyNumberFormat="1" applyFont="1" applyFill="1" applyBorder="1" applyAlignment="1" applyProtection="1">
      <alignment horizontal="right" wrapText="1"/>
    </xf>
    <xf numFmtId="165" fontId="55" fillId="0" borderId="0" xfId="11" applyNumberFormat="1" applyFont="1"/>
    <xf numFmtId="165" fontId="0" fillId="0" borderId="0" xfId="0" applyNumberFormat="1" applyAlignment="1">
      <alignment horizontal="right"/>
    </xf>
    <xf numFmtId="164" fontId="0" fillId="0" borderId="0" xfId="0" applyNumberFormat="1"/>
    <xf numFmtId="0" fontId="67" fillId="0" borderId="0" xfId="0" applyFont="1"/>
    <xf numFmtId="3" fontId="68" fillId="0" borderId="22" xfId="16" applyNumberFormat="1" applyFont="1" applyBorder="1" applyAlignment="1">
      <alignment horizontal="right" indent="3"/>
    </xf>
    <xf numFmtId="0" fontId="69" fillId="0" borderId="22" xfId="0" applyFont="1" applyBorder="1" applyAlignment="1">
      <alignment horizontal="right" indent="3"/>
    </xf>
    <xf numFmtId="0" fontId="70" fillId="0" borderId="3" xfId="0" applyFont="1" applyBorder="1" applyAlignment="1">
      <alignment horizontal="right"/>
    </xf>
    <xf numFmtId="0" fontId="69" fillId="0" borderId="0" xfId="0" applyFont="1"/>
    <xf numFmtId="0" fontId="71" fillId="0" borderId="3" xfId="0" applyFont="1" applyBorder="1"/>
    <xf numFmtId="0" fontId="37" fillId="0" borderId="0" xfId="0" applyFont="1"/>
    <xf numFmtId="3" fontId="47" fillId="0" borderId="23" xfId="21" applyNumberFormat="1" applyFont="1" applyBorder="1" applyAlignment="1">
      <alignment horizontal="right" indent="3"/>
    </xf>
    <xf numFmtId="3" fontId="47" fillId="0" borderId="22" xfId="21" applyNumberFormat="1" applyFont="1" applyBorder="1" applyAlignment="1">
      <alignment horizontal="right" indent="3"/>
    </xf>
    <xf numFmtId="3" fontId="47" fillId="0" borderId="24" xfId="21" applyNumberFormat="1" applyFont="1" applyBorder="1" applyAlignment="1">
      <alignment horizontal="right" indent="3"/>
    </xf>
    <xf numFmtId="3" fontId="66" fillId="0" borderId="23" xfId="21" applyNumberFormat="1" applyFont="1" applyBorder="1" applyAlignment="1">
      <alignment horizontal="right" indent="3"/>
    </xf>
    <xf numFmtId="3" fontId="66" fillId="0" borderId="22" xfId="21" applyNumberFormat="1" applyFont="1" applyBorder="1" applyAlignment="1">
      <alignment horizontal="right" indent="3"/>
    </xf>
    <xf numFmtId="3" fontId="66" fillId="0" borderId="24" xfId="21" applyNumberFormat="1" applyFont="1" applyBorder="1" applyAlignment="1">
      <alignment horizontal="right" indent="3"/>
    </xf>
    <xf numFmtId="3" fontId="65" fillId="0" borderId="3" xfId="0" applyNumberFormat="1" applyFont="1" applyBorder="1" applyAlignment="1">
      <alignment horizontal="right" vertical="center" indent="3"/>
    </xf>
    <xf numFmtId="0" fontId="64" fillId="0" borderId="3" xfId="16" applyFont="1" applyBorder="1" applyAlignment="1">
      <alignment horizontal="left"/>
    </xf>
    <xf numFmtId="0" fontId="72" fillId="0" borderId="3" xfId="0" applyFont="1" applyBorder="1" applyAlignment="1">
      <alignment horizontal="center"/>
    </xf>
    <xf numFmtId="0" fontId="72" fillId="0" borderId="3" xfId="0" applyFont="1" applyBorder="1"/>
    <xf numFmtId="0" fontId="72" fillId="0" borderId="3" xfId="0" applyFont="1" applyBorder="1" applyAlignment="1">
      <alignment horizontal="right"/>
    </xf>
    <xf numFmtId="3" fontId="72" fillId="0" borderId="3" xfId="0" applyNumberFormat="1" applyFont="1" applyBorder="1" applyAlignment="1">
      <alignment horizontal="right"/>
    </xf>
    <xf numFmtId="0" fontId="73" fillId="0" borderId="3" xfId="0" applyFont="1" applyBorder="1"/>
    <xf numFmtId="0" fontId="72" fillId="0" borderId="0" xfId="0" applyFont="1" applyAlignment="1">
      <alignment horizontal="right"/>
    </xf>
    <xf numFmtId="3" fontId="72" fillId="0" borderId="0" xfId="0" applyNumberFormat="1" applyFont="1" applyAlignment="1">
      <alignment horizontal="right"/>
    </xf>
    <xf numFmtId="0" fontId="55" fillId="15" borderId="22" xfId="17" applyFont="1" applyFill="1" applyBorder="1" applyAlignment="1">
      <alignment horizontal="center"/>
    </xf>
    <xf numFmtId="0" fontId="74" fillId="15" borderId="22" xfId="18" applyFont="1" applyFill="1" applyBorder="1"/>
    <xf numFmtId="3" fontId="55" fillId="15" borderId="22" xfId="17" applyNumberFormat="1" applyFont="1" applyFill="1" applyBorder="1" applyAlignment="1">
      <alignment horizontal="right" indent="2"/>
    </xf>
    <xf numFmtId="3" fontId="55" fillId="15" borderId="22" xfId="19" applyNumberFormat="1" applyFont="1" applyFill="1" applyBorder="1" applyAlignment="1">
      <alignment horizontal="right" indent="4"/>
    </xf>
    <xf numFmtId="3" fontId="55" fillId="15" borderId="22" xfId="17" applyNumberFormat="1" applyFont="1" applyFill="1" applyBorder="1" applyAlignment="1">
      <alignment horizontal="right" indent="4"/>
    </xf>
    <xf numFmtId="3" fontId="55" fillId="15" borderId="0" xfId="17" applyNumberFormat="1" applyFont="1" applyFill="1" applyAlignment="1">
      <alignment horizontal="right" indent="4"/>
    </xf>
    <xf numFmtId="3" fontId="55" fillId="15" borderId="0" xfId="17" applyNumberFormat="1" applyFont="1" applyFill="1"/>
    <xf numFmtId="0" fontId="55" fillId="0" borderId="23" xfId="16" applyFont="1" applyBorder="1" applyAlignment="1">
      <alignment horizontal="center"/>
    </xf>
    <xf numFmtId="0" fontId="55" fillId="0" borderId="23" xfId="16" applyFont="1" applyBorder="1" applyAlignment="1">
      <alignment horizontal="left"/>
    </xf>
    <xf numFmtId="3" fontId="55" fillId="16" borderId="22" xfId="17" applyNumberFormat="1" applyFont="1" applyFill="1" applyBorder="1" applyAlignment="1">
      <alignment horizontal="right" indent="2"/>
    </xf>
    <xf numFmtId="3" fontId="55" fillId="16" borderId="22" xfId="19" applyNumberFormat="1" applyFont="1" applyFill="1" applyBorder="1" applyAlignment="1">
      <alignment horizontal="right" indent="4"/>
    </xf>
    <xf numFmtId="3" fontId="55" fillId="16" borderId="22" xfId="17" applyNumberFormat="1" applyFont="1" applyFill="1" applyBorder="1" applyAlignment="1">
      <alignment horizontal="right" indent="4"/>
    </xf>
    <xf numFmtId="0" fontId="55" fillId="16" borderId="22" xfId="17" applyFont="1" applyFill="1" applyBorder="1" applyAlignment="1">
      <alignment horizontal="center"/>
    </xf>
    <xf numFmtId="0" fontId="12" fillId="0" borderId="14" xfId="12" applyFont="1" applyBorder="1" applyAlignment="1">
      <alignment horizontal="right" wrapText="1"/>
    </xf>
    <xf numFmtId="1" fontId="12" fillId="0" borderId="14" xfId="12" applyNumberFormat="1" applyFont="1" applyBorder="1" applyAlignment="1">
      <alignment wrapText="1"/>
    </xf>
    <xf numFmtId="3" fontId="55" fillId="16" borderId="7" xfId="17" applyNumberFormat="1" applyFont="1" applyFill="1" applyBorder="1" applyAlignment="1">
      <alignment horizontal="right" indent="4"/>
    </xf>
    <xf numFmtId="0" fontId="12" fillId="0" borderId="14" xfId="12" applyFont="1" applyBorder="1" applyAlignment="1">
      <alignment wrapText="1"/>
    </xf>
    <xf numFmtId="0" fontId="12" fillId="0" borderId="0" xfId="12" applyFont="1" applyAlignment="1">
      <alignment horizontal="right" wrapText="1"/>
    </xf>
    <xf numFmtId="0" fontId="55" fillId="0" borderId="22" xfId="16" applyFont="1" applyBorder="1" applyAlignment="1">
      <alignment horizontal="center"/>
    </xf>
    <xf numFmtId="0" fontId="55" fillId="0" borderId="22" xfId="16" applyFont="1" applyBorder="1" applyAlignment="1">
      <alignment horizontal="left"/>
    </xf>
    <xf numFmtId="1" fontId="12" fillId="0" borderId="14" xfId="12" applyNumberFormat="1" applyFont="1" applyBorder="1" applyAlignment="1">
      <alignment horizontal="right" wrapText="1"/>
    </xf>
    <xf numFmtId="0" fontId="55" fillId="0" borderId="3" xfId="21" applyFont="1" applyBorder="1" applyAlignment="1">
      <alignment horizontal="center"/>
    </xf>
    <xf numFmtId="0" fontId="55" fillId="0" borderId="3" xfId="21" applyFont="1" applyBorder="1"/>
    <xf numFmtId="3" fontId="55" fillId="0" borderId="3" xfId="21" applyNumberFormat="1" applyFont="1" applyBorder="1" applyAlignment="1">
      <alignment horizontal="right"/>
    </xf>
    <xf numFmtId="3" fontId="55" fillId="16" borderId="0" xfId="17" applyNumberFormat="1" applyFont="1" applyFill="1" applyAlignment="1">
      <alignment horizontal="right" indent="4"/>
    </xf>
    <xf numFmtId="0" fontId="55" fillId="0" borderId="24" xfId="16" applyFont="1" applyBorder="1" applyAlignment="1">
      <alignment horizontal="center"/>
    </xf>
    <xf numFmtId="0" fontId="55" fillId="0" borderId="24" xfId="16" applyFont="1" applyBorder="1" applyAlignment="1">
      <alignment horizontal="left"/>
    </xf>
    <xf numFmtId="0" fontId="72" fillId="0" borderId="6" xfId="0" applyFont="1" applyBorder="1" applyAlignment="1">
      <alignment horizontal="right"/>
    </xf>
    <xf numFmtId="0" fontId="75" fillId="23" borderId="25" xfId="0" applyFont="1" applyFill="1" applyBorder="1" applyAlignment="1">
      <alignment horizontal="center" vertical="center" wrapText="1"/>
    </xf>
    <xf numFmtId="0" fontId="73" fillId="0" borderId="0" xfId="0" applyFont="1"/>
    <xf numFmtId="0" fontId="55" fillId="0" borderId="26" xfId="16" applyFont="1" applyBorder="1" applyAlignment="1">
      <alignment horizontal="center"/>
    </xf>
    <xf numFmtId="0" fontId="55" fillId="0" borderId="27" xfId="16" applyFont="1" applyBorder="1" applyAlignment="1">
      <alignment horizontal="center"/>
    </xf>
    <xf numFmtId="0" fontId="55" fillId="0" borderId="4" xfId="16" applyFont="1" applyBorder="1" applyAlignment="1">
      <alignment horizontal="left"/>
    </xf>
    <xf numFmtId="0" fontId="14" fillId="0" borderId="3" xfId="0" applyFont="1" applyBorder="1" applyAlignment="1">
      <alignment horizontal="right"/>
    </xf>
    <xf numFmtId="0" fontId="55" fillId="16" borderId="3" xfId="17" applyFont="1" applyFill="1" applyBorder="1" applyAlignment="1">
      <alignment horizontal="right"/>
    </xf>
    <xf numFmtId="0" fontId="76" fillId="23" borderId="3" xfId="0" applyFont="1" applyFill="1" applyBorder="1" applyAlignment="1">
      <alignment horizontal="right" vertical="center"/>
    </xf>
    <xf numFmtId="0" fontId="55" fillId="0" borderId="3" xfId="16" applyFont="1" applyBorder="1" applyAlignment="1">
      <alignment horizontal="right"/>
    </xf>
    <xf numFmtId="3" fontId="18" fillId="0" borderId="3" xfId="0" applyNumberFormat="1" applyFont="1" applyBorder="1" applyAlignment="1">
      <alignment vertical="center"/>
    </xf>
    <xf numFmtId="3" fontId="55" fillId="0" borderId="3" xfId="21" applyNumberFormat="1" applyFont="1" applyBorder="1"/>
    <xf numFmtId="0" fontId="14" fillId="0" borderId="3" xfId="0" applyFont="1" applyBorder="1"/>
    <xf numFmtId="3" fontId="55" fillId="0" borderId="3" xfId="16" applyNumberFormat="1" applyFont="1" applyBorder="1"/>
    <xf numFmtId="0" fontId="19" fillId="0" borderId="3" xfId="0" applyFont="1" applyBorder="1" applyAlignment="1">
      <alignment horizontal="center"/>
    </xf>
    <xf numFmtId="0" fontId="19" fillId="0" borderId="3" xfId="0" applyFont="1" applyBorder="1" applyAlignment="1">
      <alignment wrapText="1"/>
    </xf>
    <xf numFmtId="0" fontId="37" fillId="24" borderId="3" xfId="0" applyFont="1" applyFill="1" applyBorder="1"/>
    <xf numFmtId="3" fontId="19" fillId="24" borderId="3" xfId="0" applyNumberFormat="1" applyFont="1" applyFill="1" applyBorder="1"/>
    <xf numFmtId="3" fontId="37" fillId="24" borderId="3" xfId="0" applyNumberFormat="1" applyFont="1" applyFill="1" applyBorder="1"/>
    <xf numFmtId="0" fontId="37" fillId="13" borderId="3" xfId="0" applyFont="1" applyFill="1" applyBorder="1"/>
    <xf numFmtId="3" fontId="64" fillId="13" borderId="3" xfId="17" applyNumberFormat="1" applyFont="1" applyFill="1" applyBorder="1"/>
    <xf numFmtId="3" fontId="64" fillId="13" borderId="3" xfId="19" applyNumberFormat="1" applyFont="1" applyFill="1" applyBorder="1"/>
    <xf numFmtId="0" fontId="37" fillId="14" borderId="3" xfId="0" applyFont="1" applyFill="1" applyBorder="1"/>
    <xf numFmtId="3" fontId="64" fillId="14" borderId="3" xfId="16" applyNumberFormat="1" applyFont="1" applyFill="1" applyBorder="1" applyAlignment="1">
      <alignment horizontal="right" indent="3"/>
    </xf>
    <xf numFmtId="3" fontId="64" fillId="14" borderId="3" xfId="21" applyNumberFormat="1" applyFont="1" applyFill="1" applyBorder="1" applyAlignment="1">
      <alignment horizontal="right" indent="3"/>
    </xf>
    <xf numFmtId="0" fontId="37" fillId="14" borderId="3" xfId="0" applyFont="1" applyFill="1" applyBorder="1" applyAlignment="1">
      <alignment horizontal="right" indent="3"/>
    </xf>
    <xf numFmtId="0" fontId="40" fillId="0" borderId="18" xfId="0" applyFont="1" applyBorder="1"/>
    <xf numFmtId="0" fontId="40" fillId="0" borderId="12" xfId="0" applyFont="1" applyBorder="1"/>
    <xf numFmtId="0" fontId="42" fillId="6" borderId="18" xfId="0" applyFont="1" applyFill="1" applyBorder="1" applyAlignment="1">
      <alignment horizontal="center" vertical="center" wrapText="1"/>
    </xf>
    <xf numFmtId="0" fontId="42" fillId="6" borderId="12" xfId="0" applyFont="1" applyFill="1" applyBorder="1" applyAlignment="1">
      <alignment horizontal="center" vertical="center" wrapText="1"/>
    </xf>
    <xf numFmtId="0" fontId="42" fillId="7" borderId="18" xfId="0" applyFont="1" applyFill="1" applyBorder="1" applyAlignment="1">
      <alignment horizontal="center" vertical="center" wrapText="1"/>
    </xf>
    <xf numFmtId="0" fontId="42" fillId="7" borderId="12" xfId="0" applyFont="1" applyFill="1" applyBorder="1" applyAlignment="1">
      <alignment horizontal="center" vertical="center" wrapText="1"/>
    </xf>
    <xf numFmtId="0" fontId="42" fillId="8" borderId="18" xfId="0" applyFont="1" applyFill="1" applyBorder="1" applyAlignment="1">
      <alignment horizontal="center" vertical="center" wrapText="1"/>
    </xf>
    <xf numFmtId="0" fontId="42" fillId="8" borderId="12" xfId="0" applyFont="1" applyFill="1" applyBorder="1" applyAlignment="1">
      <alignment horizontal="center" vertical="center" wrapText="1"/>
    </xf>
    <xf numFmtId="0" fontId="42" fillId="9" borderId="18" xfId="0" applyFont="1" applyFill="1" applyBorder="1" applyAlignment="1">
      <alignment horizontal="center" vertical="center" wrapText="1"/>
    </xf>
    <xf numFmtId="0" fontId="42" fillId="9" borderId="12" xfId="0" applyFont="1" applyFill="1" applyBorder="1" applyAlignment="1">
      <alignment horizontal="center" vertical="center" wrapText="1"/>
    </xf>
    <xf numFmtId="0" fontId="41" fillId="0" borderId="18" xfId="0" applyFont="1" applyBorder="1" applyAlignment="1">
      <alignment horizontal="left" vertical="center" wrapText="1"/>
    </xf>
    <xf numFmtId="0" fontId="41" fillId="0" borderId="19" xfId="0" applyFont="1" applyBorder="1" applyAlignment="1">
      <alignment horizontal="left" vertical="center" wrapText="1"/>
    </xf>
    <xf numFmtId="0" fontId="41" fillId="0" borderId="12" xfId="0" applyFont="1" applyBorder="1" applyAlignment="1">
      <alignment horizontal="left" vertical="center" wrapText="1"/>
    </xf>
    <xf numFmtId="0" fontId="40" fillId="0" borderId="19" xfId="0" applyFont="1" applyBorder="1"/>
    <xf numFmtId="0" fontId="39" fillId="0" borderId="3" xfId="0" applyFont="1" applyBorder="1" applyAlignment="1">
      <alignment horizontal="center" vertical="center" wrapText="1"/>
    </xf>
    <xf numFmtId="0" fontId="39" fillId="0" borderId="6" xfId="0" applyFont="1" applyBorder="1" applyAlignment="1">
      <alignment horizontal="center" vertical="center" wrapText="1"/>
    </xf>
    <xf numFmtId="0" fontId="39" fillId="0" borderId="4" xfId="0" applyFont="1" applyBorder="1" applyAlignment="1">
      <alignment horizontal="center" vertical="center" wrapText="1"/>
    </xf>
    <xf numFmtId="0" fontId="38" fillId="0" borderId="3" xfId="0" applyFont="1" applyBorder="1" applyAlignment="1">
      <alignment horizontal="center" vertical="center"/>
    </xf>
    <xf numFmtId="0" fontId="38" fillId="0" borderId="16" xfId="0" applyFont="1" applyBorder="1" applyAlignment="1">
      <alignment horizontal="center" vertical="center"/>
    </xf>
    <xf numFmtId="0" fontId="38" fillId="0" borderId="17" xfId="0" applyFont="1" applyBorder="1" applyAlignment="1">
      <alignment horizontal="center" vertical="center"/>
    </xf>
    <xf numFmtId="0" fontId="38" fillId="0" borderId="15" xfId="0" applyFont="1" applyBorder="1" applyAlignment="1">
      <alignment horizontal="center" vertical="center"/>
    </xf>
    <xf numFmtId="0" fontId="37" fillId="24" borderId="3" xfId="0" applyFont="1" applyFill="1" applyBorder="1" applyAlignment="1">
      <alignment horizontal="center"/>
    </xf>
    <xf numFmtId="0" fontId="37" fillId="13" borderId="3" xfId="0" applyFont="1" applyFill="1" applyBorder="1" applyAlignment="1">
      <alignment horizontal="center"/>
    </xf>
    <xf numFmtId="0" fontId="37" fillId="14" borderId="3" xfId="0" applyFont="1" applyFill="1" applyBorder="1" applyAlignment="1">
      <alignment horizontal="center"/>
    </xf>
  </cellXfs>
  <cellStyles count="22">
    <cellStyle name="Accent1" xfId="8" builtinId="29"/>
    <cellStyle name="Accent2" xfId="9" builtinId="33"/>
    <cellStyle name="Accent4" xfId="10" builtinId="41"/>
    <cellStyle name="Comma 2" xfId="3" xr:uid="{252546CD-AB3E-46E8-B3BD-2532702FADA0}"/>
    <cellStyle name="Hyperlink" xfId="14" builtinId="8"/>
    <cellStyle name="Normal" xfId="0" builtinId="0"/>
    <cellStyle name="Normal 2" xfId="4" xr:uid="{319544CF-6DE3-499E-913F-184AE1D3A677}"/>
    <cellStyle name="Normal 3" xfId="5" xr:uid="{44F8BC21-706F-43D2-94D8-1D2D300E946E}"/>
    <cellStyle name="Normal_Sheet1" xfId="21" xr:uid="{CF10FD50-F9E5-49F1-982E-503671968058}"/>
    <cellStyle name="Normal_Πίνακας 1" xfId="16" xr:uid="{49488583-393D-4AA1-9299-45C25BB94138}"/>
    <cellStyle name="Normal_Πίνακας 6" xfId="15" xr:uid="{3D85A4C6-957F-40A1-B2A2-2A277AFFDA3C}"/>
    <cellStyle name="Normal_Πίνακας_1" xfId="19" xr:uid="{2164CB3C-3123-4243-8E3E-A9162FE45C68}"/>
    <cellStyle name="Normal_Πίνακας_5" xfId="18" xr:uid="{695AB6D5-9590-4455-B7BB-D1C5ED46E3D2}"/>
    <cellStyle name="Normal_Πίνακας_6" xfId="17" xr:uid="{28040AB7-1801-4233-A64E-2BCF41842462}"/>
    <cellStyle name="Βασικό_PC95-96" xfId="1" xr:uid="{7104779F-BD09-4C49-992A-AC32BFD25285}"/>
    <cellStyle name="Βασικό_Δημοσίευμα Περιφερειακών-1" xfId="2" xr:uid="{69772981-727A-4BC2-9A47-651424A0E131}"/>
    <cellStyle name="Βασικό_Φύλλο1" xfId="12" xr:uid="{E0157AFF-FBAC-4D14-A3A2-A8113B76ED3A}"/>
    <cellStyle name="Κανονικό 2" xfId="13" xr:uid="{D8B9591D-00BB-402E-AD4F-88AF967B849C}"/>
    <cellStyle name="Κανονικό 3" xfId="7" xr:uid="{538BEBB7-AAE5-4222-A4CE-1177E40D29AF}"/>
    <cellStyle name="Κανονικό 4" xfId="11" xr:uid="{AD150D19-1313-41C9-A5DB-760B5D5E4505}"/>
    <cellStyle name="Κανονικό 6" xfId="20" xr:uid="{9649C6DE-AD17-4455-81F5-E0039CE334D2}"/>
    <cellStyle name="Κόμμα 2" xfId="6" xr:uid="{753F9711-7542-4E3A-BBAA-9D16BFF3203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'ΦΚ-πληθυσμός 2011-21'!$H$1</c:f>
              <c:strCache>
                <c:ptCount val="1"/>
                <c:pt idx="0">
                  <c:v>NM/POP 2021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'ΦΚ-πληθυσμός 2011-21'!$A$2:$A$28</c:f>
              <c:strCache>
                <c:ptCount val="27"/>
                <c:pt idx="0">
                  <c:v>ITHAKI</c:v>
                </c:pt>
                <c:pt idx="1">
                  <c:v>ATTIKI ISLANDS</c:v>
                </c:pt>
                <c:pt idx="2">
                  <c:v>THASSOS</c:v>
                </c:pt>
                <c:pt idx="3">
                  <c:v>LEYKADA</c:v>
                </c:pt>
                <c:pt idx="4">
                  <c:v>SYROS</c:v>
                </c:pt>
                <c:pt idx="5">
                  <c:v>KERKYRA</c:v>
                </c:pt>
                <c:pt idx="6">
                  <c:v>ANDROS</c:v>
                </c:pt>
                <c:pt idx="7">
                  <c:v>TINOS</c:v>
                </c:pt>
                <c:pt idx="8">
                  <c:v>MILOS</c:v>
                </c:pt>
                <c:pt idx="9">
                  <c:v>LIMNOS</c:v>
                </c:pt>
                <c:pt idx="10">
                  <c:v>LESVOS</c:v>
                </c:pt>
                <c:pt idx="11">
                  <c:v>KEFALLINIA</c:v>
                </c:pt>
                <c:pt idx="12">
                  <c:v>CHIOS</c:v>
                </c:pt>
                <c:pt idx="13">
                  <c:v>KARPATHOS</c:v>
                </c:pt>
                <c:pt idx="14">
                  <c:v>SAMOS</c:v>
                </c:pt>
                <c:pt idx="15">
                  <c:v>GREECE</c:v>
                </c:pt>
                <c:pt idx="16">
                  <c:v>SPORADES</c:v>
                </c:pt>
                <c:pt idx="17">
                  <c:v>IKARIA</c:v>
                </c:pt>
                <c:pt idx="18">
                  <c:v>ZAKYNTHOS</c:v>
                </c:pt>
                <c:pt idx="19">
                  <c:v>KEA-KYTHNOS</c:v>
                </c:pt>
                <c:pt idx="20">
                  <c:v>KALYMNOS</c:v>
                </c:pt>
                <c:pt idx="21">
                  <c:v>NAXOS</c:v>
                </c:pt>
                <c:pt idx="22">
                  <c:v>PAROS</c:v>
                </c:pt>
                <c:pt idx="23">
                  <c:v>RODOS</c:v>
                </c:pt>
                <c:pt idx="24">
                  <c:v>KOS</c:v>
                </c:pt>
                <c:pt idx="25">
                  <c:v>MYKONOS</c:v>
                </c:pt>
                <c:pt idx="26">
                  <c:v>THIRA</c:v>
                </c:pt>
              </c:strCache>
            </c:strRef>
          </c:cat>
          <c:val>
            <c:numRef>
              <c:f>'ΦΚ-πληθυσμός 2011-21'!$H$2:$H$28</c:f>
              <c:numCache>
                <c:formatCode>0.00</c:formatCode>
                <c:ptCount val="27"/>
                <c:pt idx="0">
                  <c:v>-9.7134870719776369</c:v>
                </c:pt>
                <c:pt idx="1">
                  <c:v>-7.9252949910135193</c:v>
                </c:pt>
                <c:pt idx="2">
                  <c:v>-7.0512820512820511</c:v>
                </c:pt>
                <c:pt idx="3">
                  <c:v>-6.0413563480241832</c:v>
                </c:pt>
                <c:pt idx="4">
                  <c:v>-5.2168149971596289</c:v>
                </c:pt>
                <c:pt idx="5">
                  <c:v>-5.0639763779527556</c:v>
                </c:pt>
                <c:pt idx="6">
                  <c:v>-4.6793564468615454</c:v>
                </c:pt>
                <c:pt idx="7">
                  <c:v>-4.253413924334005</c:v>
                </c:pt>
                <c:pt idx="8">
                  <c:v>-4.0177690029615007</c:v>
                </c:pt>
                <c:pt idx="9">
                  <c:v>-3.6957043436525074</c:v>
                </c:pt>
                <c:pt idx="10">
                  <c:v>-3.6356038445465941</c:v>
                </c:pt>
                <c:pt idx="11">
                  <c:v>-3.5353815439219165</c:v>
                </c:pt>
                <c:pt idx="12">
                  <c:v>-3.3544842528824579</c:v>
                </c:pt>
                <c:pt idx="13">
                  <c:v>-3.3119383825417201</c:v>
                </c:pt>
                <c:pt idx="14">
                  <c:v>-3.189142822130997</c:v>
                </c:pt>
                <c:pt idx="15">
                  <c:v>-3.1608720335164735</c:v>
                </c:pt>
                <c:pt idx="16">
                  <c:v>-2.0879774112052312</c:v>
                </c:pt>
                <c:pt idx="17">
                  <c:v>-1.7671313567641862</c:v>
                </c:pt>
                <c:pt idx="18">
                  <c:v>-0.83292860611947539</c:v>
                </c:pt>
                <c:pt idx="19">
                  <c:v>-0.79426082500640527</c:v>
                </c:pt>
                <c:pt idx="20">
                  <c:v>-0.24535576586049773</c:v>
                </c:pt>
                <c:pt idx="21">
                  <c:v>0.36825058786991438</c:v>
                </c:pt>
                <c:pt idx="22">
                  <c:v>1.6851441241685146</c:v>
                </c:pt>
                <c:pt idx="23">
                  <c:v>2.737007898333089</c:v>
                </c:pt>
                <c:pt idx="24">
                  <c:v>4.8210123864142247</c:v>
                </c:pt>
                <c:pt idx="25">
                  <c:v>7.7541106128550075</c:v>
                </c:pt>
                <c:pt idx="26">
                  <c:v>8.0550304557865999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A8-4EAB-A41C-0FBDA26ADA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46466847"/>
        <c:axId val="146465887"/>
      </c:barChart>
      <c:catAx>
        <c:axId val="14646684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46465887"/>
        <c:crosses val="autoZero"/>
        <c:auto val="1"/>
        <c:lblAlgn val="ctr"/>
        <c:lblOffset val="100"/>
        <c:noMultiLvlLbl val="0"/>
      </c:catAx>
      <c:valAx>
        <c:axId val="14646588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4646684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κκΑΕΠ!$B$1</c:f>
              <c:strCache>
                <c:ptCount val="1"/>
                <c:pt idx="0">
                  <c:v>2000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κκΑΕΠ!$A$2:$A$11</c:f>
              <c:strCache>
                <c:ptCount val="10"/>
                <c:pt idx="0">
                  <c:v>Lesvos, Limnos</c:v>
                </c:pt>
                <c:pt idx="1">
                  <c:v>Ikaria, Samos</c:v>
                </c:pt>
                <c:pt idx="2">
                  <c:v>Chios</c:v>
                </c:pt>
                <c:pt idx="3">
                  <c:v>Dodecanissa</c:v>
                </c:pt>
                <c:pt idx="4">
                  <c:v>Kyklades</c:v>
                </c:pt>
                <c:pt idx="5">
                  <c:v>Zakynthos</c:v>
                </c:pt>
                <c:pt idx="6">
                  <c:v>Kerkyra</c:v>
                </c:pt>
                <c:pt idx="7">
                  <c:v>Ithaki, Kefallinia</c:v>
                </c:pt>
                <c:pt idx="8">
                  <c:v>Lefkada</c:v>
                </c:pt>
                <c:pt idx="9">
                  <c:v>Greece</c:v>
                </c:pt>
              </c:strCache>
            </c:strRef>
          </c:cat>
          <c:val>
            <c:numRef>
              <c:f>κκΑΕΠ!$B$2:$B$11</c:f>
              <c:numCache>
                <c:formatCode>#,##0</c:formatCode>
                <c:ptCount val="10"/>
                <c:pt idx="0">
                  <c:v>9034.5359370400365</c:v>
                </c:pt>
                <c:pt idx="1">
                  <c:v>9146.595127543922</c:v>
                </c:pt>
                <c:pt idx="2">
                  <c:v>9197.3784819408738</c:v>
                </c:pt>
                <c:pt idx="3">
                  <c:v>13824.715525550228</c:v>
                </c:pt>
                <c:pt idx="4">
                  <c:v>16088.292856203188</c:v>
                </c:pt>
                <c:pt idx="5">
                  <c:v>15370.455943403515</c:v>
                </c:pt>
                <c:pt idx="6">
                  <c:v>12423.958611285585</c:v>
                </c:pt>
                <c:pt idx="7">
                  <c:v>12998.876680629604</c:v>
                </c:pt>
                <c:pt idx="8">
                  <c:v>8264.4698390198027</c:v>
                </c:pt>
                <c:pt idx="9">
                  <c:v>12600.753395507259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64-4D8D-9672-40215485B817}"/>
            </c:ext>
          </c:extLst>
        </c:ser>
        <c:ser>
          <c:idx val="1"/>
          <c:order val="1"/>
          <c:tx>
            <c:strRef>
              <c:f>κκΑΕΠ!$C$1</c:f>
              <c:strCache>
                <c:ptCount val="1"/>
                <c:pt idx="0">
                  <c:v>2008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κκΑΕΠ!$A$2:$A$11</c:f>
              <c:strCache>
                <c:ptCount val="10"/>
                <c:pt idx="0">
                  <c:v>Lesvos, Limnos</c:v>
                </c:pt>
                <c:pt idx="1">
                  <c:v>Ikaria, Samos</c:v>
                </c:pt>
                <c:pt idx="2">
                  <c:v>Chios</c:v>
                </c:pt>
                <c:pt idx="3">
                  <c:v>Dodecanissa</c:v>
                </c:pt>
                <c:pt idx="4">
                  <c:v>Kyklades</c:v>
                </c:pt>
                <c:pt idx="5">
                  <c:v>Zakynthos</c:v>
                </c:pt>
                <c:pt idx="6">
                  <c:v>Kerkyra</c:v>
                </c:pt>
                <c:pt idx="7">
                  <c:v>Ithaki, Kefallinia</c:v>
                </c:pt>
                <c:pt idx="8">
                  <c:v>Lefkada</c:v>
                </c:pt>
                <c:pt idx="9">
                  <c:v>Greece</c:v>
                </c:pt>
              </c:strCache>
            </c:strRef>
          </c:cat>
          <c:val>
            <c:numRef>
              <c:f>κκΑΕΠ!$C$2:$C$11</c:f>
              <c:numCache>
                <c:formatCode>#,##0</c:formatCode>
                <c:ptCount val="10"/>
                <c:pt idx="0">
                  <c:v>16747.534061661761</c:v>
                </c:pt>
                <c:pt idx="1">
                  <c:v>18729.378364397802</c:v>
                </c:pt>
                <c:pt idx="2">
                  <c:v>16705.534788290639</c:v>
                </c:pt>
                <c:pt idx="3">
                  <c:v>21402.366274774438</c:v>
                </c:pt>
                <c:pt idx="4">
                  <c:v>28976.384388253784</c:v>
                </c:pt>
                <c:pt idx="5">
                  <c:v>24763.408418125691</c:v>
                </c:pt>
                <c:pt idx="6">
                  <c:v>20880.141054608586</c:v>
                </c:pt>
                <c:pt idx="7">
                  <c:v>23202.855270793047</c:v>
                </c:pt>
                <c:pt idx="8">
                  <c:v>14805.835292034897</c:v>
                </c:pt>
                <c:pt idx="9">
                  <c:v>21550.67303829881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864-4D8D-9672-40215485B817}"/>
            </c:ext>
          </c:extLst>
        </c:ser>
        <c:ser>
          <c:idx val="2"/>
          <c:order val="2"/>
          <c:tx>
            <c:strRef>
              <c:f>κκΑΕΠ!$D$1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κκΑΕΠ!$A$2:$A$11</c:f>
              <c:strCache>
                <c:ptCount val="10"/>
                <c:pt idx="0">
                  <c:v>Lesvos, Limnos</c:v>
                </c:pt>
                <c:pt idx="1">
                  <c:v>Ikaria, Samos</c:v>
                </c:pt>
                <c:pt idx="2">
                  <c:v>Chios</c:v>
                </c:pt>
                <c:pt idx="3">
                  <c:v>Dodecanissa</c:v>
                </c:pt>
                <c:pt idx="4">
                  <c:v>Kyklades</c:v>
                </c:pt>
                <c:pt idx="5">
                  <c:v>Zakynthos</c:v>
                </c:pt>
                <c:pt idx="6">
                  <c:v>Kerkyra</c:v>
                </c:pt>
                <c:pt idx="7">
                  <c:v>Ithaki, Kefallinia</c:v>
                </c:pt>
                <c:pt idx="8">
                  <c:v>Lefkada</c:v>
                </c:pt>
                <c:pt idx="9">
                  <c:v>Greece</c:v>
                </c:pt>
              </c:strCache>
            </c:strRef>
          </c:cat>
          <c:val>
            <c:numRef>
              <c:f>κκΑΕΠ!$D$2:$D$11</c:f>
              <c:numCache>
                <c:formatCode>#,##0</c:formatCode>
                <c:ptCount val="10"/>
                <c:pt idx="0">
                  <c:v>12687.260332079692</c:v>
                </c:pt>
                <c:pt idx="1">
                  <c:v>12620.598415446631</c:v>
                </c:pt>
                <c:pt idx="2">
                  <c:v>12084.481728865094</c:v>
                </c:pt>
                <c:pt idx="3">
                  <c:v>16022.515336256409</c:v>
                </c:pt>
                <c:pt idx="4">
                  <c:v>21289.739185381404</c:v>
                </c:pt>
                <c:pt idx="5">
                  <c:v>17542.271387460489</c:v>
                </c:pt>
                <c:pt idx="6">
                  <c:v>14587.625320624156</c:v>
                </c:pt>
                <c:pt idx="7">
                  <c:v>14614.248040778009</c:v>
                </c:pt>
                <c:pt idx="8">
                  <c:v>12095.329752778294</c:v>
                </c:pt>
                <c:pt idx="9">
                  <c:v>16205.924091069488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864-4D8D-9672-40215485B817}"/>
            </c:ext>
          </c:extLst>
        </c:ser>
        <c:ser>
          <c:idx val="3"/>
          <c:order val="3"/>
          <c:tx>
            <c:strRef>
              <c:f>κκΑΕΠ!$E$1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κκΑΕΠ!$A$2:$A$11</c:f>
              <c:strCache>
                <c:ptCount val="10"/>
                <c:pt idx="0">
                  <c:v>Lesvos, Limnos</c:v>
                </c:pt>
                <c:pt idx="1">
                  <c:v>Ikaria, Samos</c:v>
                </c:pt>
                <c:pt idx="2">
                  <c:v>Chios</c:v>
                </c:pt>
                <c:pt idx="3">
                  <c:v>Dodecanissa</c:v>
                </c:pt>
                <c:pt idx="4">
                  <c:v>Kyklades</c:v>
                </c:pt>
                <c:pt idx="5">
                  <c:v>Zakynthos</c:v>
                </c:pt>
                <c:pt idx="6">
                  <c:v>Kerkyra</c:v>
                </c:pt>
                <c:pt idx="7">
                  <c:v>Ithaki, Kefallinia</c:v>
                </c:pt>
                <c:pt idx="8">
                  <c:v>Lefkada</c:v>
                </c:pt>
                <c:pt idx="9">
                  <c:v>Greece</c:v>
                </c:pt>
              </c:strCache>
            </c:strRef>
          </c:cat>
          <c:val>
            <c:numRef>
              <c:f>κκΑΕΠ!$E$2:$E$11</c:f>
              <c:numCache>
                <c:formatCode>#,##0</c:formatCode>
                <c:ptCount val="10"/>
                <c:pt idx="0">
                  <c:v>12194.582764592249</c:v>
                </c:pt>
                <c:pt idx="1">
                  <c:v>12280.170002505043</c:v>
                </c:pt>
                <c:pt idx="2">
                  <c:v>11806.799298030122</c:v>
                </c:pt>
                <c:pt idx="3">
                  <c:v>15377.515264717447</c:v>
                </c:pt>
                <c:pt idx="4">
                  <c:v>20478.107321069136</c:v>
                </c:pt>
                <c:pt idx="5">
                  <c:v>17172.506049158797</c:v>
                </c:pt>
                <c:pt idx="6">
                  <c:v>14677.015685528462</c:v>
                </c:pt>
                <c:pt idx="7">
                  <c:v>14460.862312209161</c:v>
                </c:pt>
                <c:pt idx="8">
                  <c:v>12008.935674929893</c:v>
                </c:pt>
                <c:pt idx="9">
                  <c:v>16188.615889309289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864-4D8D-9672-40215485B817}"/>
            </c:ext>
          </c:extLst>
        </c:ser>
        <c:ser>
          <c:idx val="4"/>
          <c:order val="4"/>
          <c:tx>
            <c:strRef>
              <c:f>κκΑΕΠ!$F$1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κκΑΕΠ!$A$2:$A$11</c:f>
              <c:strCache>
                <c:ptCount val="10"/>
                <c:pt idx="0">
                  <c:v>Lesvos, Limnos</c:v>
                </c:pt>
                <c:pt idx="1">
                  <c:v>Ikaria, Samos</c:v>
                </c:pt>
                <c:pt idx="2">
                  <c:v>Chios</c:v>
                </c:pt>
                <c:pt idx="3">
                  <c:v>Dodecanissa</c:v>
                </c:pt>
                <c:pt idx="4">
                  <c:v>Kyklades</c:v>
                </c:pt>
                <c:pt idx="5">
                  <c:v>Zakynthos</c:v>
                </c:pt>
                <c:pt idx="6">
                  <c:v>Kerkyra</c:v>
                </c:pt>
                <c:pt idx="7">
                  <c:v>Ithaki, Kefallinia</c:v>
                </c:pt>
                <c:pt idx="8">
                  <c:v>Lefkada</c:v>
                </c:pt>
                <c:pt idx="9">
                  <c:v>Greece</c:v>
                </c:pt>
              </c:strCache>
            </c:strRef>
          </c:cat>
          <c:val>
            <c:numRef>
              <c:f>κκΑΕΠ!$F$2:$F$11</c:f>
              <c:numCache>
                <c:formatCode>#,##0</c:formatCode>
                <c:ptCount val="10"/>
                <c:pt idx="0">
                  <c:v>11853.235670346701</c:v>
                </c:pt>
                <c:pt idx="1">
                  <c:v>11844.513863373564</c:v>
                </c:pt>
                <c:pt idx="2">
                  <c:v>11368.357632903091</c:v>
                </c:pt>
                <c:pt idx="3">
                  <c:v>15401.031919377676</c:v>
                </c:pt>
                <c:pt idx="4">
                  <c:v>20847.475771410373</c:v>
                </c:pt>
                <c:pt idx="5">
                  <c:v>17471.003115394407</c:v>
                </c:pt>
                <c:pt idx="6">
                  <c:v>14964.161205391134</c:v>
                </c:pt>
                <c:pt idx="7">
                  <c:v>14740.306205213234</c:v>
                </c:pt>
                <c:pt idx="8">
                  <c:v>12007.679582044973</c:v>
                </c:pt>
                <c:pt idx="9">
                  <c:v>16493.129016600818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864-4D8D-9672-40215485B817}"/>
            </c:ext>
          </c:extLst>
        </c:ser>
        <c:ser>
          <c:idx val="5"/>
          <c:order val="5"/>
          <c:tx>
            <c:strRef>
              <c:f>κκΑΕΠ!$G$1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κκΑΕΠ!$A$2:$A$11</c:f>
              <c:strCache>
                <c:ptCount val="10"/>
                <c:pt idx="0">
                  <c:v>Lesvos, Limnos</c:v>
                </c:pt>
                <c:pt idx="1">
                  <c:v>Ikaria, Samos</c:v>
                </c:pt>
                <c:pt idx="2">
                  <c:v>Chios</c:v>
                </c:pt>
                <c:pt idx="3">
                  <c:v>Dodecanissa</c:v>
                </c:pt>
                <c:pt idx="4">
                  <c:v>Kyklades</c:v>
                </c:pt>
                <c:pt idx="5">
                  <c:v>Zakynthos</c:v>
                </c:pt>
                <c:pt idx="6">
                  <c:v>Kerkyra</c:v>
                </c:pt>
                <c:pt idx="7">
                  <c:v>Ithaki, Kefallinia</c:v>
                </c:pt>
                <c:pt idx="8">
                  <c:v>Lefkada</c:v>
                </c:pt>
                <c:pt idx="9">
                  <c:v>Greece</c:v>
                </c:pt>
              </c:strCache>
            </c:strRef>
          </c:cat>
          <c:val>
            <c:numRef>
              <c:f>κκΑΕΠ!$G$2:$G$11</c:f>
              <c:numCache>
                <c:formatCode>#,##0</c:formatCode>
                <c:ptCount val="10"/>
                <c:pt idx="0">
                  <c:v>11650.38622944796</c:v>
                </c:pt>
                <c:pt idx="1">
                  <c:v>11454.25462638281</c:v>
                </c:pt>
                <c:pt idx="2">
                  <c:v>11036.629944885877</c:v>
                </c:pt>
                <c:pt idx="3">
                  <c:v>15752.862155870893</c:v>
                </c:pt>
                <c:pt idx="4">
                  <c:v>21615.649195416965</c:v>
                </c:pt>
                <c:pt idx="5">
                  <c:v>18485.00911064196</c:v>
                </c:pt>
                <c:pt idx="6">
                  <c:v>15241.891223401102</c:v>
                </c:pt>
                <c:pt idx="7">
                  <c:v>14950.055936649982</c:v>
                </c:pt>
                <c:pt idx="8">
                  <c:v>12706.230369734665</c:v>
                </c:pt>
                <c:pt idx="9">
                  <c:v>16828.245404417463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864-4D8D-9672-40215485B817}"/>
            </c:ext>
          </c:extLst>
        </c:ser>
        <c:ser>
          <c:idx val="6"/>
          <c:order val="6"/>
          <c:tx>
            <c:strRef>
              <c:f>κκΑΕΠ!$H$1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κκΑΕΠ!$A$2:$A$11</c:f>
              <c:strCache>
                <c:ptCount val="10"/>
                <c:pt idx="0">
                  <c:v>Lesvos, Limnos</c:v>
                </c:pt>
                <c:pt idx="1">
                  <c:v>Ikaria, Samos</c:v>
                </c:pt>
                <c:pt idx="2">
                  <c:v>Chios</c:v>
                </c:pt>
                <c:pt idx="3">
                  <c:v>Dodecanissa</c:v>
                </c:pt>
                <c:pt idx="4">
                  <c:v>Kyklades</c:v>
                </c:pt>
                <c:pt idx="5">
                  <c:v>Zakynthos</c:v>
                </c:pt>
                <c:pt idx="6">
                  <c:v>Kerkyra</c:v>
                </c:pt>
                <c:pt idx="7">
                  <c:v>Ithaki, Kefallinia</c:v>
                </c:pt>
                <c:pt idx="8">
                  <c:v>Lefkada</c:v>
                </c:pt>
                <c:pt idx="9">
                  <c:v>Greece</c:v>
                </c:pt>
              </c:strCache>
            </c:strRef>
          </c:cat>
          <c:val>
            <c:numRef>
              <c:f>κκΑΕΠ!$H$2:$H$11</c:f>
              <c:numCache>
                <c:formatCode>#,##0</c:formatCode>
                <c:ptCount val="10"/>
                <c:pt idx="0">
                  <c:v>11313.06954236156</c:v>
                </c:pt>
                <c:pt idx="1">
                  <c:v>11400.145609705492</c:v>
                </c:pt>
                <c:pt idx="2">
                  <c:v>11299.140654323484</c:v>
                </c:pt>
                <c:pt idx="3">
                  <c:v>16288.23135284413</c:v>
                </c:pt>
                <c:pt idx="4">
                  <c:v>22103.845847342476</c:v>
                </c:pt>
                <c:pt idx="5">
                  <c:v>19455.310380871204</c:v>
                </c:pt>
                <c:pt idx="6">
                  <c:v>15571.836313515269</c:v>
                </c:pt>
                <c:pt idx="7">
                  <c:v>15344.611732460564</c:v>
                </c:pt>
                <c:pt idx="8">
                  <c:v>13101.679959072828</c:v>
                </c:pt>
                <c:pt idx="9">
                  <c:v>17271.843929989693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864-4D8D-9672-40215485B817}"/>
            </c:ext>
          </c:extLst>
        </c:ser>
        <c:ser>
          <c:idx val="7"/>
          <c:order val="7"/>
          <c:tx>
            <c:strRef>
              <c:f>κκΑΕΠ!$I$1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κκΑΕΠ!$A$2:$A$11</c:f>
              <c:strCache>
                <c:ptCount val="10"/>
                <c:pt idx="0">
                  <c:v>Lesvos, Limnos</c:v>
                </c:pt>
                <c:pt idx="1">
                  <c:v>Ikaria, Samos</c:v>
                </c:pt>
                <c:pt idx="2">
                  <c:v>Chios</c:v>
                </c:pt>
                <c:pt idx="3">
                  <c:v>Dodecanissa</c:v>
                </c:pt>
                <c:pt idx="4">
                  <c:v>Kyklades</c:v>
                </c:pt>
                <c:pt idx="5">
                  <c:v>Zakynthos</c:v>
                </c:pt>
                <c:pt idx="6">
                  <c:v>Kerkyra</c:v>
                </c:pt>
                <c:pt idx="7">
                  <c:v>Ithaki, Kefallinia</c:v>
                </c:pt>
                <c:pt idx="8">
                  <c:v>Lefkada</c:v>
                </c:pt>
                <c:pt idx="9">
                  <c:v>Greece</c:v>
                </c:pt>
              </c:strCache>
            </c:strRef>
          </c:cat>
          <c:val>
            <c:numRef>
              <c:f>κκΑΕΠ!$I$2:$I$11</c:f>
              <c:numCache>
                <c:formatCode>#,##0</c:formatCode>
                <c:ptCount val="10"/>
                <c:pt idx="0">
                  <c:v>9870.0668788793118</c:v>
                </c:pt>
                <c:pt idx="1">
                  <c:v>9677.8203029613069</c:v>
                </c:pt>
                <c:pt idx="2">
                  <c:v>10220.542154194569</c:v>
                </c:pt>
                <c:pt idx="3">
                  <c:v>12644.145614702858</c:v>
                </c:pt>
                <c:pt idx="4">
                  <c:v>17260.437372998265</c:v>
                </c:pt>
                <c:pt idx="5">
                  <c:v>14881.819832668138</c:v>
                </c:pt>
                <c:pt idx="6">
                  <c:v>12583.004669516344</c:v>
                </c:pt>
                <c:pt idx="7">
                  <c:v>12214.922024279034</c:v>
                </c:pt>
                <c:pt idx="8">
                  <c:v>10594.928340930368</c:v>
                </c:pt>
                <c:pt idx="9">
                  <c:v>15659.962488298866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864-4D8D-9672-40215485B817}"/>
            </c:ext>
          </c:extLst>
        </c:ser>
        <c:ser>
          <c:idx val="8"/>
          <c:order val="8"/>
          <c:tx>
            <c:strRef>
              <c:f>κκΑΕΠ!$J$1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κκΑΕΠ!$A$2:$A$11</c:f>
              <c:strCache>
                <c:ptCount val="10"/>
                <c:pt idx="0">
                  <c:v>Lesvos, Limnos</c:v>
                </c:pt>
                <c:pt idx="1">
                  <c:v>Ikaria, Samos</c:v>
                </c:pt>
                <c:pt idx="2">
                  <c:v>Chios</c:v>
                </c:pt>
                <c:pt idx="3">
                  <c:v>Dodecanissa</c:v>
                </c:pt>
                <c:pt idx="4">
                  <c:v>Kyklades</c:v>
                </c:pt>
                <c:pt idx="5">
                  <c:v>Zakynthos</c:v>
                </c:pt>
                <c:pt idx="6">
                  <c:v>Kerkyra</c:v>
                </c:pt>
                <c:pt idx="7">
                  <c:v>Ithaki, Kefallinia</c:v>
                </c:pt>
                <c:pt idx="8">
                  <c:v>Lefkada</c:v>
                </c:pt>
                <c:pt idx="9">
                  <c:v>Greece</c:v>
                </c:pt>
              </c:strCache>
            </c:strRef>
          </c:cat>
          <c:val>
            <c:numRef>
              <c:f>κκΑΕΠ!$J$2:$J$11</c:f>
              <c:numCache>
                <c:formatCode>#,##0</c:formatCode>
                <c:ptCount val="10"/>
                <c:pt idx="0">
                  <c:v>10627.974169640347</c:v>
                </c:pt>
                <c:pt idx="1">
                  <c:v>10517.92365379452</c:v>
                </c:pt>
                <c:pt idx="2">
                  <c:v>11068.383243326756</c:v>
                </c:pt>
                <c:pt idx="3">
                  <c:v>14308.234573126028</c:v>
                </c:pt>
                <c:pt idx="4">
                  <c:v>20129.295703473414</c:v>
                </c:pt>
                <c:pt idx="5">
                  <c:v>17088.159991378689</c:v>
                </c:pt>
                <c:pt idx="6">
                  <c:v>14200.983924059441</c:v>
                </c:pt>
                <c:pt idx="7">
                  <c:v>14036.968725077919</c:v>
                </c:pt>
                <c:pt idx="8">
                  <c:v>12483.379188536665</c:v>
                </c:pt>
                <c:pt idx="9">
                  <c:v>17346.568603946991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864-4D8D-9672-40215485B817}"/>
            </c:ext>
          </c:extLst>
        </c:ser>
        <c:ser>
          <c:idx val="9"/>
          <c:order val="9"/>
          <c:tx>
            <c:strRef>
              <c:f>κκΑΕΠ!$K$1</c:f>
              <c:strCache>
                <c:ptCount val="1"/>
                <c:pt idx="0">
                  <c:v>2022*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κκΑΕΠ!$A$2:$A$11</c:f>
              <c:strCache>
                <c:ptCount val="10"/>
                <c:pt idx="0">
                  <c:v>Lesvos, Limnos</c:v>
                </c:pt>
                <c:pt idx="1">
                  <c:v>Ikaria, Samos</c:v>
                </c:pt>
                <c:pt idx="2">
                  <c:v>Chios</c:v>
                </c:pt>
                <c:pt idx="3">
                  <c:v>Dodecanissa</c:v>
                </c:pt>
                <c:pt idx="4">
                  <c:v>Kyklades</c:v>
                </c:pt>
                <c:pt idx="5">
                  <c:v>Zakynthos</c:v>
                </c:pt>
                <c:pt idx="6">
                  <c:v>Kerkyra</c:v>
                </c:pt>
                <c:pt idx="7">
                  <c:v>Ithaki, Kefallinia</c:v>
                </c:pt>
                <c:pt idx="8">
                  <c:v>Lefkada</c:v>
                </c:pt>
                <c:pt idx="9">
                  <c:v>Greece</c:v>
                </c:pt>
              </c:strCache>
            </c:strRef>
          </c:cat>
          <c:val>
            <c:numRef>
              <c:f>κκΑΕΠ!$K$2:$K$11</c:f>
              <c:numCache>
                <c:formatCode>#,##0</c:formatCode>
                <c:ptCount val="10"/>
                <c:pt idx="0">
                  <c:v>11882.287677093682</c:v>
                </c:pt>
                <c:pt idx="1">
                  <c:v>11820.389105547772</c:v>
                </c:pt>
                <c:pt idx="2">
                  <c:v>12346.800115300155</c:v>
                </c:pt>
                <c:pt idx="3">
                  <c:v>16905.520564228034</c:v>
                </c:pt>
                <c:pt idx="4">
                  <c:v>23233.115741606704</c:v>
                </c:pt>
                <c:pt idx="5">
                  <c:v>20211.643016536276</c:v>
                </c:pt>
                <c:pt idx="6">
                  <c:v>16088.191870111714</c:v>
                </c:pt>
                <c:pt idx="7">
                  <c:v>17076.473089047478</c:v>
                </c:pt>
                <c:pt idx="8">
                  <c:v>14541.092918958419</c:v>
                </c:pt>
                <c:pt idx="9">
                  <c:v>19647.470400491355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864-4D8D-9672-40215485B8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88853007"/>
        <c:axId val="988844367"/>
      </c:barChart>
      <c:catAx>
        <c:axId val="98885300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988844367"/>
        <c:crosses val="autoZero"/>
        <c:auto val="1"/>
        <c:lblAlgn val="ctr"/>
        <c:lblOffset val="100"/>
        <c:noMultiLvlLbl val="0"/>
      </c:catAx>
      <c:valAx>
        <c:axId val="98884436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98885300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κκΑΕΠ!$A$17</c:f>
              <c:strCache>
                <c:ptCount val="1"/>
                <c:pt idx="0">
                  <c:v>ELLADA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κκΑΕΠ!$B$16:$X$16</c:f>
              <c:strCache>
                <c:ptCount val="2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  <c:pt idx="21">
                  <c:v>2021</c:v>
                </c:pt>
                <c:pt idx="22">
                  <c:v>2022*</c:v>
                </c:pt>
              </c:strCache>
            </c:strRef>
          </c:cat>
          <c:val>
            <c:numRef>
              <c:f>κκΑΕΠ!$B$17:$X$17</c:f>
              <c:numCache>
                <c:formatCode>#,##0</c:formatCode>
                <c:ptCount val="23"/>
                <c:pt idx="0">
                  <c:v>12600.753395507259</c:v>
                </c:pt>
                <c:pt idx="1">
                  <c:v>13573.627503264959</c:v>
                </c:pt>
                <c:pt idx="2">
                  <c:v>14575.507702538705</c:v>
                </c:pt>
                <c:pt idx="3">
                  <c:v>15931.054068801974</c:v>
                </c:pt>
                <c:pt idx="4">
                  <c:v>17243.486025963073</c:v>
                </c:pt>
                <c:pt idx="5">
                  <c:v>17727.053891403419</c:v>
                </c:pt>
                <c:pt idx="6">
                  <c:v>19445.66537558717</c:v>
                </c:pt>
                <c:pt idx="7">
                  <c:v>20752.390630854083</c:v>
                </c:pt>
                <c:pt idx="8">
                  <c:v>21550.67303829881</c:v>
                </c:pt>
                <c:pt idx="9">
                  <c:v>21096.794948122395</c:v>
                </c:pt>
                <c:pt idx="10">
                  <c:v>20104.558442163256</c:v>
                </c:pt>
                <c:pt idx="11">
                  <c:v>18322.918940578809</c:v>
                </c:pt>
                <c:pt idx="12">
                  <c:v>16831.054390710378</c:v>
                </c:pt>
                <c:pt idx="13">
                  <c:v>16243.540419867528</c:v>
                </c:pt>
                <c:pt idx="14">
                  <c:v>16164.679094337556</c:v>
                </c:pt>
                <c:pt idx="15">
                  <c:v>16205.924091069488</c:v>
                </c:pt>
                <c:pt idx="16">
                  <c:v>16188.615889309289</c:v>
                </c:pt>
                <c:pt idx="17">
                  <c:v>16493.129016600818</c:v>
                </c:pt>
                <c:pt idx="18">
                  <c:v>16828.245404417463</c:v>
                </c:pt>
                <c:pt idx="19">
                  <c:v>17271.843929989693</c:v>
                </c:pt>
                <c:pt idx="20">
                  <c:v>15659.962488298866</c:v>
                </c:pt>
                <c:pt idx="21">
                  <c:v>17346.568603946991</c:v>
                </c:pt>
                <c:pt idx="22">
                  <c:v>19647.470400491355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70C-43E9-BD03-E4BB2A45B9E7}"/>
            </c:ext>
          </c:extLst>
        </c:ser>
        <c:ser>
          <c:idx val="1"/>
          <c:order val="1"/>
          <c:tx>
            <c:strRef>
              <c:f>κκΑΕΠ!$A$18</c:f>
              <c:strCache>
                <c:ptCount val="1"/>
                <c:pt idx="0">
                  <c:v>Lesvos, Limnos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κκΑΕΠ!$B$16:$X$16</c:f>
              <c:strCache>
                <c:ptCount val="2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  <c:pt idx="21">
                  <c:v>2021</c:v>
                </c:pt>
                <c:pt idx="22">
                  <c:v>2022*</c:v>
                </c:pt>
              </c:strCache>
            </c:strRef>
          </c:cat>
          <c:val>
            <c:numRef>
              <c:f>κκΑΕΠ!$B$18:$X$18</c:f>
              <c:numCache>
                <c:formatCode>#,##0</c:formatCode>
                <c:ptCount val="23"/>
                <c:pt idx="0">
                  <c:v>9034.5359370400365</c:v>
                </c:pt>
                <c:pt idx="1">
                  <c:v>9944.2080551268973</c:v>
                </c:pt>
                <c:pt idx="2">
                  <c:v>10100.056772752425</c:v>
                </c:pt>
                <c:pt idx="3">
                  <c:v>12459.988033605603</c:v>
                </c:pt>
                <c:pt idx="4">
                  <c:v>12547.857687845906</c:v>
                </c:pt>
                <c:pt idx="5">
                  <c:v>13584.765276441074</c:v>
                </c:pt>
                <c:pt idx="6">
                  <c:v>15127.883707120396</c:v>
                </c:pt>
                <c:pt idx="7">
                  <c:v>15843.331055750799</c:v>
                </c:pt>
                <c:pt idx="8">
                  <c:v>16747.534061661761</c:v>
                </c:pt>
                <c:pt idx="9">
                  <c:v>16471.621281841963</c:v>
                </c:pt>
                <c:pt idx="10">
                  <c:v>15587.047288779548</c:v>
                </c:pt>
                <c:pt idx="11">
                  <c:v>14269.127463136263</c:v>
                </c:pt>
                <c:pt idx="12">
                  <c:v>12995.333798791953</c:v>
                </c:pt>
                <c:pt idx="13">
                  <c:v>12795.864858566907</c:v>
                </c:pt>
                <c:pt idx="14">
                  <c:v>12838.904795740715</c:v>
                </c:pt>
                <c:pt idx="15">
                  <c:v>12687.260332079692</c:v>
                </c:pt>
                <c:pt idx="16">
                  <c:v>12194.582764592249</c:v>
                </c:pt>
                <c:pt idx="17">
                  <c:v>11853.235670346701</c:v>
                </c:pt>
                <c:pt idx="18">
                  <c:v>11650.38622944796</c:v>
                </c:pt>
                <c:pt idx="19">
                  <c:v>11313.06954236156</c:v>
                </c:pt>
                <c:pt idx="20">
                  <c:v>9870.0668788793118</c:v>
                </c:pt>
                <c:pt idx="21">
                  <c:v>10627.974169640347</c:v>
                </c:pt>
                <c:pt idx="22">
                  <c:v>11882.287677093682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70C-43E9-BD03-E4BB2A45B9E7}"/>
            </c:ext>
          </c:extLst>
        </c:ser>
        <c:ser>
          <c:idx val="2"/>
          <c:order val="2"/>
          <c:tx>
            <c:strRef>
              <c:f>κκΑΕΠ!$A$19</c:f>
              <c:strCache>
                <c:ptCount val="1"/>
                <c:pt idx="0">
                  <c:v>Ikaria, Samos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κκΑΕΠ!$B$16:$X$16</c:f>
              <c:strCache>
                <c:ptCount val="2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  <c:pt idx="21">
                  <c:v>2021</c:v>
                </c:pt>
                <c:pt idx="22">
                  <c:v>2022*</c:v>
                </c:pt>
              </c:strCache>
            </c:strRef>
          </c:cat>
          <c:val>
            <c:numRef>
              <c:f>κκΑΕΠ!$B$19:$X$19</c:f>
              <c:numCache>
                <c:formatCode>#,##0</c:formatCode>
                <c:ptCount val="23"/>
                <c:pt idx="0">
                  <c:v>9146.595127543922</c:v>
                </c:pt>
                <c:pt idx="1">
                  <c:v>10076.729899958795</c:v>
                </c:pt>
                <c:pt idx="2">
                  <c:v>10073.248711830876</c:v>
                </c:pt>
                <c:pt idx="3">
                  <c:v>11422.326582927662</c:v>
                </c:pt>
                <c:pt idx="4">
                  <c:v>12928.074796030185</c:v>
                </c:pt>
                <c:pt idx="5">
                  <c:v>14457.896150848788</c:v>
                </c:pt>
                <c:pt idx="6">
                  <c:v>16011.428465672394</c:v>
                </c:pt>
                <c:pt idx="7">
                  <c:v>17301.551282698012</c:v>
                </c:pt>
                <c:pt idx="8">
                  <c:v>18729.378364397802</c:v>
                </c:pt>
                <c:pt idx="9">
                  <c:v>17740.682233126794</c:v>
                </c:pt>
                <c:pt idx="10">
                  <c:v>16192.793318296011</c:v>
                </c:pt>
                <c:pt idx="11">
                  <c:v>14798.792655108458</c:v>
                </c:pt>
                <c:pt idx="12">
                  <c:v>13432.493941552379</c:v>
                </c:pt>
                <c:pt idx="13">
                  <c:v>13001.775977958321</c:v>
                </c:pt>
                <c:pt idx="14">
                  <c:v>13050.637488317925</c:v>
                </c:pt>
                <c:pt idx="15">
                  <c:v>12620.598415446631</c:v>
                </c:pt>
                <c:pt idx="16">
                  <c:v>12280.170002505043</c:v>
                </c:pt>
                <c:pt idx="17">
                  <c:v>11844.513863373564</c:v>
                </c:pt>
                <c:pt idx="18">
                  <c:v>11454.25462638281</c:v>
                </c:pt>
                <c:pt idx="19">
                  <c:v>11400.145609705492</c:v>
                </c:pt>
                <c:pt idx="20">
                  <c:v>9677.8203029613069</c:v>
                </c:pt>
                <c:pt idx="21">
                  <c:v>10517.92365379452</c:v>
                </c:pt>
                <c:pt idx="22">
                  <c:v>11820.389105547772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70C-43E9-BD03-E4BB2A45B9E7}"/>
            </c:ext>
          </c:extLst>
        </c:ser>
        <c:ser>
          <c:idx val="3"/>
          <c:order val="3"/>
          <c:tx>
            <c:strRef>
              <c:f>κκΑΕΠ!$A$20</c:f>
              <c:strCache>
                <c:ptCount val="1"/>
                <c:pt idx="0">
                  <c:v>Chios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κκΑΕΠ!$B$16:$X$16</c:f>
              <c:strCache>
                <c:ptCount val="2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  <c:pt idx="21">
                  <c:v>2021</c:v>
                </c:pt>
                <c:pt idx="22">
                  <c:v>2022*</c:v>
                </c:pt>
              </c:strCache>
            </c:strRef>
          </c:cat>
          <c:val>
            <c:numRef>
              <c:f>κκΑΕΠ!$B$20:$X$20</c:f>
              <c:numCache>
                <c:formatCode>#,##0</c:formatCode>
                <c:ptCount val="23"/>
                <c:pt idx="0">
                  <c:v>9197.3784819408738</c:v>
                </c:pt>
                <c:pt idx="1">
                  <c:v>9584.9678432606834</c:v>
                </c:pt>
                <c:pt idx="2">
                  <c:v>10244.026822892098</c:v>
                </c:pt>
                <c:pt idx="3">
                  <c:v>11838.40484726111</c:v>
                </c:pt>
                <c:pt idx="4">
                  <c:v>13046.693996515063</c:v>
                </c:pt>
                <c:pt idx="5">
                  <c:v>12753.7334593955</c:v>
                </c:pt>
                <c:pt idx="6">
                  <c:v>14151.694587833123</c:v>
                </c:pt>
                <c:pt idx="7">
                  <c:v>16034.890400044113</c:v>
                </c:pt>
                <c:pt idx="8">
                  <c:v>16705.534788290639</c:v>
                </c:pt>
                <c:pt idx="9">
                  <c:v>16446.854512201004</c:v>
                </c:pt>
                <c:pt idx="10">
                  <c:v>15477.184787606533</c:v>
                </c:pt>
                <c:pt idx="11">
                  <c:v>14182.654879260203</c:v>
                </c:pt>
                <c:pt idx="12">
                  <c:v>13434.237544979787</c:v>
                </c:pt>
                <c:pt idx="13">
                  <c:v>12524.23174415434</c:v>
                </c:pt>
                <c:pt idx="14">
                  <c:v>12388.404220125272</c:v>
                </c:pt>
                <c:pt idx="15">
                  <c:v>12084.481728865094</c:v>
                </c:pt>
                <c:pt idx="16">
                  <c:v>11806.799298030122</c:v>
                </c:pt>
                <c:pt idx="17">
                  <c:v>11368.357632903091</c:v>
                </c:pt>
                <c:pt idx="18">
                  <c:v>11036.629944885877</c:v>
                </c:pt>
                <c:pt idx="19">
                  <c:v>11299.140654323484</c:v>
                </c:pt>
                <c:pt idx="20">
                  <c:v>10220.542154194569</c:v>
                </c:pt>
                <c:pt idx="21">
                  <c:v>11068.383243326756</c:v>
                </c:pt>
                <c:pt idx="22">
                  <c:v>12346.800115300155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70C-43E9-BD03-E4BB2A45B9E7}"/>
            </c:ext>
          </c:extLst>
        </c:ser>
        <c:ser>
          <c:idx val="4"/>
          <c:order val="4"/>
          <c:tx>
            <c:strRef>
              <c:f>κκΑΕΠ!$A$21</c:f>
              <c:strCache>
                <c:ptCount val="1"/>
                <c:pt idx="0">
                  <c:v>Dodekanissa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κκΑΕΠ!$B$16:$X$16</c:f>
              <c:strCache>
                <c:ptCount val="2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  <c:pt idx="21">
                  <c:v>2021</c:v>
                </c:pt>
                <c:pt idx="22">
                  <c:v>2022*</c:v>
                </c:pt>
              </c:strCache>
            </c:strRef>
          </c:cat>
          <c:val>
            <c:numRef>
              <c:f>κκΑΕΠ!$B$21:$X$21</c:f>
              <c:numCache>
                <c:formatCode>#,##0</c:formatCode>
                <c:ptCount val="23"/>
                <c:pt idx="0">
                  <c:v>13824.715525550228</c:v>
                </c:pt>
                <c:pt idx="1">
                  <c:v>14547.993908901999</c:v>
                </c:pt>
                <c:pt idx="2">
                  <c:v>14325.582250227319</c:v>
                </c:pt>
                <c:pt idx="3">
                  <c:v>15787.13659520991</c:v>
                </c:pt>
                <c:pt idx="4">
                  <c:v>16878.346504227982</c:v>
                </c:pt>
                <c:pt idx="5">
                  <c:v>17179.545411233128</c:v>
                </c:pt>
                <c:pt idx="6">
                  <c:v>19047.873638764431</c:v>
                </c:pt>
                <c:pt idx="7">
                  <c:v>19861.923064619368</c:v>
                </c:pt>
                <c:pt idx="8">
                  <c:v>21402.366274774438</c:v>
                </c:pt>
                <c:pt idx="9">
                  <c:v>19934.693809340137</c:v>
                </c:pt>
                <c:pt idx="10">
                  <c:v>18913.533544609338</c:v>
                </c:pt>
                <c:pt idx="11">
                  <c:v>17401.717581213768</c:v>
                </c:pt>
                <c:pt idx="12">
                  <c:v>16565.875198592752</c:v>
                </c:pt>
                <c:pt idx="13">
                  <c:v>16032.349066867639</c:v>
                </c:pt>
                <c:pt idx="14">
                  <c:v>16009.489583929726</c:v>
                </c:pt>
                <c:pt idx="15">
                  <c:v>16022.515336256409</c:v>
                </c:pt>
                <c:pt idx="16">
                  <c:v>15377.515264717447</c:v>
                </c:pt>
                <c:pt idx="17">
                  <c:v>15401.031919377676</c:v>
                </c:pt>
                <c:pt idx="18">
                  <c:v>15752.862155870893</c:v>
                </c:pt>
                <c:pt idx="19">
                  <c:v>16288.23135284413</c:v>
                </c:pt>
                <c:pt idx="20">
                  <c:v>12644.145614702858</c:v>
                </c:pt>
                <c:pt idx="21">
                  <c:v>14308.234573126028</c:v>
                </c:pt>
                <c:pt idx="22">
                  <c:v>16905.520564228034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70C-43E9-BD03-E4BB2A45B9E7}"/>
            </c:ext>
          </c:extLst>
        </c:ser>
        <c:ser>
          <c:idx val="5"/>
          <c:order val="5"/>
          <c:tx>
            <c:strRef>
              <c:f>κκΑΕΠ!$A$22</c:f>
              <c:strCache>
                <c:ptCount val="1"/>
                <c:pt idx="0">
                  <c:v>Kyklades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strRef>
              <c:f>κκΑΕΠ!$B$16:$X$16</c:f>
              <c:strCache>
                <c:ptCount val="2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  <c:pt idx="21">
                  <c:v>2021</c:v>
                </c:pt>
                <c:pt idx="22">
                  <c:v>2022*</c:v>
                </c:pt>
              </c:strCache>
            </c:strRef>
          </c:cat>
          <c:val>
            <c:numRef>
              <c:f>κκΑΕΠ!$B$22:$X$22</c:f>
              <c:numCache>
                <c:formatCode>#,##0</c:formatCode>
                <c:ptCount val="23"/>
                <c:pt idx="0">
                  <c:v>16088.292856203188</c:v>
                </c:pt>
                <c:pt idx="1">
                  <c:v>16656.467562092115</c:v>
                </c:pt>
                <c:pt idx="2">
                  <c:v>17220.552222727172</c:v>
                </c:pt>
                <c:pt idx="3">
                  <c:v>19633.203946429494</c:v>
                </c:pt>
                <c:pt idx="4">
                  <c:v>22159.458892401282</c:v>
                </c:pt>
                <c:pt idx="5">
                  <c:v>24290.422765818963</c:v>
                </c:pt>
                <c:pt idx="6">
                  <c:v>25362.447099435296</c:v>
                </c:pt>
                <c:pt idx="7">
                  <c:v>27657.072821450391</c:v>
                </c:pt>
                <c:pt idx="8">
                  <c:v>28976.384388253784</c:v>
                </c:pt>
                <c:pt idx="9">
                  <c:v>27491.591442395114</c:v>
                </c:pt>
                <c:pt idx="10">
                  <c:v>25887.017470256247</c:v>
                </c:pt>
                <c:pt idx="11">
                  <c:v>23211.891335499309</c:v>
                </c:pt>
                <c:pt idx="12">
                  <c:v>19945.490608815937</c:v>
                </c:pt>
                <c:pt idx="13">
                  <c:v>22238.918328492084</c:v>
                </c:pt>
                <c:pt idx="14">
                  <c:v>22260.454080922013</c:v>
                </c:pt>
                <c:pt idx="15">
                  <c:v>21289.739185381404</c:v>
                </c:pt>
                <c:pt idx="16">
                  <c:v>20478.107321069136</c:v>
                </c:pt>
                <c:pt idx="17">
                  <c:v>20847.475771410373</c:v>
                </c:pt>
                <c:pt idx="18">
                  <c:v>21615.649195416965</c:v>
                </c:pt>
                <c:pt idx="19">
                  <c:v>22103.845847342476</c:v>
                </c:pt>
                <c:pt idx="20">
                  <c:v>17260.437372998265</c:v>
                </c:pt>
                <c:pt idx="21">
                  <c:v>20129.295703473414</c:v>
                </c:pt>
                <c:pt idx="22">
                  <c:v>23233.115741606704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70C-43E9-BD03-E4BB2A45B9E7}"/>
            </c:ext>
          </c:extLst>
        </c:ser>
        <c:ser>
          <c:idx val="6"/>
          <c:order val="6"/>
          <c:tx>
            <c:strRef>
              <c:f>κκΑΕΠ!$A$23</c:f>
              <c:strCache>
                <c:ptCount val="1"/>
                <c:pt idx="0">
                  <c:v>Zakynthos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κκΑΕΠ!$B$16:$X$16</c:f>
              <c:strCache>
                <c:ptCount val="2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  <c:pt idx="21">
                  <c:v>2021</c:v>
                </c:pt>
                <c:pt idx="22">
                  <c:v>2022*</c:v>
                </c:pt>
              </c:strCache>
            </c:strRef>
          </c:cat>
          <c:val>
            <c:numRef>
              <c:f>κκΑΕΠ!$B$23:$X$23</c:f>
              <c:numCache>
                <c:formatCode>#,##0</c:formatCode>
                <c:ptCount val="23"/>
                <c:pt idx="0">
                  <c:v>15370.455943403515</c:v>
                </c:pt>
                <c:pt idx="1">
                  <c:v>16960.777057429415</c:v>
                </c:pt>
                <c:pt idx="2">
                  <c:v>16516.311758315649</c:v>
                </c:pt>
                <c:pt idx="3">
                  <c:v>19186.20108819889</c:v>
                </c:pt>
                <c:pt idx="4">
                  <c:v>19787.058320434069</c:v>
                </c:pt>
                <c:pt idx="5">
                  <c:v>20970.308073096123</c:v>
                </c:pt>
                <c:pt idx="6">
                  <c:v>21978.118179686269</c:v>
                </c:pt>
                <c:pt idx="7">
                  <c:v>23852.353503673985</c:v>
                </c:pt>
                <c:pt idx="8">
                  <c:v>24763.408418125691</c:v>
                </c:pt>
                <c:pt idx="9">
                  <c:v>23521.069910395698</c:v>
                </c:pt>
                <c:pt idx="10">
                  <c:v>22307.082227104391</c:v>
                </c:pt>
                <c:pt idx="11">
                  <c:v>18900.244147865051</c:v>
                </c:pt>
                <c:pt idx="12">
                  <c:v>17770.221115898894</c:v>
                </c:pt>
                <c:pt idx="13">
                  <c:v>17313.621184771313</c:v>
                </c:pt>
                <c:pt idx="14">
                  <c:v>17612.499168548125</c:v>
                </c:pt>
                <c:pt idx="15">
                  <c:v>17542.271387460489</c:v>
                </c:pt>
                <c:pt idx="16">
                  <c:v>17172.506049158797</c:v>
                </c:pt>
                <c:pt idx="17">
                  <c:v>17471.003115394407</c:v>
                </c:pt>
                <c:pt idx="18">
                  <c:v>18485.00911064196</c:v>
                </c:pt>
                <c:pt idx="19">
                  <c:v>19455.310380871204</c:v>
                </c:pt>
                <c:pt idx="20">
                  <c:v>14881.819832668138</c:v>
                </c:pt>
                <c:pt idx="21">
                  <c:v>17088.159991378689</c:v>
                </c:pt>
                <c:pt idx="22">
                  <c:v>20211.643016536276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70C-43E9-BD03-E4BB2A45B9E7}"/>
            </c:ext>
          </c:extLst>
        </c:ser>
        <c:ser>
          <c:idx val="7"/>
          <c:order val="7"/>
          <c:tx>
            <c:strRef>
              <c:f>κκΑΕΠ!$A$24</c:f>
              <c:strCache>
                <c:ptCount val="1"/>
                <c:pt idx="0">
                  <c:v>Kerkyra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κκΑΕΠ!$B$16:$X$16</c:f>
              <c:strCache>
                <c:ptCount val="2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  <c:pt idx="21">
                  <c:v>2021</c:v>
                </c:pt>
                <c:pt idx="22">
                  <c:v>2022*</c:v>
                </c:pt>
              </c:strCache>
            </c:strRef>
          </c:cat>
          <c:val>
            <c:numRef>
              <c:f>κκΑΕΠ!$B$24:$X$24</c:f>
              <c:numCache>
                <c:formatCode>#,##0</c:formatCode>
                <c:ptCount val="23"/>
                <c:pt idx="0">
                  <c:v>12423.958611285585</c:v>
                </c:pt>
                <c:pt idx="1">
                  <c:v>13456.095972923444</c:v>
                </c:pt>
                <c:pt idx="2">
                  <c:v>13641.805950088779</c:v>
                </c:pt>
                <c:pt idx="3">
                  <c:v>15558.971447361784</c:v>
                </c:pt>
                <c:pt idx="4">
                  <c:v>16676.914433227739</c:v>
                </c:pt>
                <c:pt idx="5">
                  <c:v>17552.311411525705</c:v>
                </c:pt>
                <c:pt idx="6">
                  <c:v>18460.381190527081</c:v>
                </c:pt>
                <c:pt idx="7">
                  <c:v>19366.351408853599</c:v>
                </c:pt>
                <c:pt idx="8">
                  <c:v>20880.141054608586</c:v>
                </c:pt>
                <c:pt idx="9">
                  <c:v>19253.081153660787</c:v>
                </c:pt>
                <c:pt idx="10">
                  <c:v>17805.755511917348</c:v>
                </c:pt>
                <c:pt idx="11">
                  <c:v>15787.122333808253</c:v>
                </c:pt>
                <c:pt idx="12">
                  <c:v>14438.903749342455</c:v>
                </c:pt>
                <c:pt idx="13">
                  <c:v>14481.220397211115</c:v>
                </c:pt>
                <c:pt idx="14">
                  <c:v>14728.633987827652</c:v>
                </c:pt>
                <c:pt idx="15">
                  <c:v>14587.625320624156</c:v>
                </c:pt>
                <c:pt idx="16">
                  <c:v>14677.015685528462</c:v>
                </c:pt>
                <c:pt idx="17">
                  <c:v>14964.161205391134</c:v>
                </c:pt>
                <c:pt idx="18">
                  <c:v>15241.891223401102</c:v>
                </c:pt>
                <c:pt idx="19">
                  <c:v>15571.836313515269</c:v>
                </c:pt>
                <c:pt idx="20">
                  <c:v>12583.004669516344</c:v>
                </c:pt>
                <c:pt idx="21">
                  <c:v>14200.983924059441</c:v>
                </c:pt>
                <c:pt idx="22">
                  <c:v>16088.191870111714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70C-43E9-BD03-E4BB2A45B9E7}"/>
            </c:ext>
          </c:extLst>
        </c:ser>
        <c:ser>
          <c:idx val="8"/>
          <c:order val="8"/>
          <c:tx>
            <c:strRef>
              <c:f>κκΑΕΠ!$A$25</c:f>
              <c:strCache>
                <c:ptCount val="1"/>
                <c:pt idx="0">
                  <c:v>Ithaki, Kefallinia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κκΑΕΠ!$B$16:$X$16</c:f>
              <c:strCache>
                <c:ptCount val="2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  <c:pt idx="21">
                  <c:v>2021</c:v>
                </c:pt>
                <c:pt idx="22">
                  <c:v>2022*</c:v>
                </c:pt>
              </c:strCache>
            </c:strRef>
          </c:cat>
          <c:val>
            <c:numRef>
              <c:f>κκΑΕΠ!$B$25:$X$25</c:f>
              <c:numCache>
                <c:formatCode>#,##0</c:formatCode>
                <c:ptCount val="23"/>
                <c:pt idx="0">
                  <c:v>12998.876680629604</c:v>
                </c:pt>
                <c:pt idx="1">
                  <c:v>14024.054904122435</c:v>
                </c:pt>
                <c:pt idx="2">
                  <c:v>14093.362202843324</c:v>
                </c:pt>
                <c:pt idx="3">
                  <c:v>16174.504158350252</c:v>
                </c:pt>
                <c:pt idx="4">
                  <c:v>18115.014313502248</c:v>
                </c:pt>
                <c:pt idx="5">
                  <c:v>19043.780755226191</c:v>
                </c:pt>
                <c:pt idx="6">
                  <c:v>20732.972455800664</c:v>
                </c:pt>
                <c:pt idx="7">
                  <c:v>22711.263953962938</c:v>
                </c:pt>
                <c:pt idx="8">
                  <c:v>23202.855270793047</c:v>
                </c:pt>
                <c:pt idx="9">
                  <c:v>21330.974103180029</c:v>
                </c:pt>
                <c:pt idx="10">
                  <c:v>20472.979406245322</c:v>
                </c:pt>
                <c:pt idx="11">
                  <c:v>16933.476053127928</c:v>
                </c:pt>
                <c:pt idx="12">
                  <c:v>15595.847572442335</c:v>
                </c:pt>
                <c:pt idx="13">
                  <c:v>15020.10052013343</c:v>
                </c:pt>
                <c:pt idx="14">
                  <c:v>15446.892409679887</c:v>
                </c:pt>
                <c:pt idx="15">
                  <c:v>14614.248040778009</c:v>
                </c:pt>
                <c:pt idx="16">
                  <c:v>14460.862312209161</c:v>
                </c:pt>
                <c:pt idx="17">
                  <c:v>14740.306205213234</c:v>
                </c:pt>
                <c:pt idx="18">
                  <c:v>14950.055936649982</c:v>
                </c:pt>
                <c:pt idx="19">
                  <c:v>15344.611732460564</c:v>
                </c:pt>
                <c:pt idx="20">
                  <c:v>12214.922024279034</c:v>
                </c:pt>
                <c:pt idx="21">
                  <c:v>14036.968725077919</c:v>
                </c:pt>
                <c:pt idx="22">
                  <c:v>17076.473089047478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70C-43E9-BD03-E4BB2A45B9E7}"/>
            </c:ext>
          </c:extLst>
        </c:ser>
        <c:ser>
          <c:idx val="9"/>
          <c:order val="9"/>
          <c:tx>
            <c:strRef>
              <c:f>κκΑΕΠ!$A$26</c:f>
              <c:strCache>
                <c:ptCount val="1"/>
                <c:pt idx="0">
                  <c:v>Lefkada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κκΑΕΠ!$B$16:$X$16</c:f>
              <c:strCache>
                <c:ptCount val="2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  <c:pt idx="21">
                  <c:v>2021</c:v>
                </c:pt>
                <c:pt idx="22">
                  <c:v>2022*</c:v>
                </c:pt>
              </c:strCache>
            </c:strRef>
          </c:cat>
          <c:val>
            <c:numRef>
              <c:f>κκΑΕΠ!$B$26:$X$26</c:f>
              <c:numCache>
                <c:formatCode>#,##0</c:formatCode>
                <c:ptCount val="23"/>
                <c:pt idx="0">
                  <c:v>8264.4698390198027</c:v>
                </c:pt>
                <c:pt idx="1">
                  <c:v>9228.4632023845425</c:v>
                </c:pt>
                <c:pt idx="2">
                  <c:v>9477.7473480481785</c:v>
                </c:pt>
                <c:pt idx="3">
                  <c:v>10542.371836076349</c:v>
                </c:pt>
                <c:pt idx="4">
                  <c:v>11617.334865559589</c:v>
                </c:pt>
                <c:pt idx="5">
                  <c:v>12647.380270344034</c:v>
                </c:pt>
                <c:pt idx="6">
                  <c:v>13940.887404947252</c:v>
                </c:pt>
                <c:pt idx="7">
                  <c:v>14561.573755682813</c:v>
                </c:pt>
                <c:pt idx="8">
                  <c:v>14805.835292034897</c:v>
                </c:pt>
                <c:pt idx="9">
                  <c:v>15574.332182640001</c:v>
                </c:pt>
                <c:pt idx="10">
                  <c:v>15956.166238177364</c:v>
                </c:pt>
                <c:pt idx="11">
                  <c:v>13828.42252816102</c:v>
                </c:pt>
                <c:pt idx="12">
                  <c:v>12812.977195761358</c:v>
                </c:pt>
                <c:pt idx="13">
                  <c:v>12573.12572824304</c:v>
                </c:pt>
                <c:pt idx="14">
                  <c:v>12377.920984364673</c:v>
                </c:pt>
                <c:pt idx="15">
                  <c:v>12095.329752778294</c:v>
                </c:pt>
                <c:pt idx="16">
                  <c:v>12008.935674929893</c:v>
                </c:pt>
                <c:pt idx="17">
                  <c:v>12007.679582044973</c:v>
                </c:pt>
                <c:pt idx="18">
                  <c:v>12706.230369734665</c:v>
                </c:pt>
                <c:pt idx="19">
                  <c:v>13101.679959072828</c:v>
                </c:pt>
                <c:pt idx="20">
                  <c:v>10594.928340930368</c:v>
                </c:pt>
                <c:pt idx="21">
                  <c:v>12483.379188536665</c:v>
                </c:pt>
                <c:pt idx="22">
                  <c:v>14541.092918958419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70C-43E9-BD03-E4BB2A45B9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1450208"/>
        <c:axId val="1051446848"/>
      </c:lineChart>
      <c:catAx>
        <c:axId val="1051450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051446848"/>
        <c:crosses val="autoZero"/>
        <c:auto val="1"/>
        <c:lblAlgn val="ctr"/>
        <c:lblOffset val="100"/>
        <c:noMultiLvlLbl val="0"/>
      </c:catAx>
      <c:valAx>
        <c:axId val="10514468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0514502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'ΠΑ κλάδοι'!$B$15</c:f>
              <c:strCache>
                <c:ptCount val="1"/>
                <c:pt idx="0">
                  <c:v>agriculture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'ΠΑ κλάδοι'!$A$16:$A$25</c:f>
              <c:strCache>
                <c:ptCount val="10"/>
                <c:pt idx="0">
                  <c:v>ELLADA</c:v>
                </c:pt>
                <c:pt idx="1">
                  <c:v>Lesvos, Limnos</c:v>
                </c:pt>
                <c:pt idx="2">
                  <c:v>Ikaria, Samos</c:v>
                </c:pt>
                <c:pt idx="3">
                  <c:v>Chios</c:v>
                </c:pt>
                <c:pt idx="4">
                  <c:v>Dodekanissa</c:v>
                </c:pt>
                <c:pt idx="5">
                  <c:v>Kyklades</c:v>
                </c:pt>
                <c:pt idx="6">
                  <c:v>Zakynthos</c:v>
                </c:pt>
                <c:pt idx="7">
                  <c:v>Kerkyra</c:v>
                </c:pt>
                <c:pt idx="8">
                  <c:v>Ithaki, Kefallinia</c:v>
                </c:pt>
                <c:pt idx="9">
                  <c:v>Lefkada</c:v>
                </c:pt>
              </c:strCache>
            </c:strRef>
          </c:cat>
          <c:val>
            <c:numRef>
              <c:f>'ΠΑ κλάδοι'!$B$16:$B$25</c:f>
              <c:numCache>
                <c:formatCode>0.0</c:formatCode>
                <c:ptCount val="10"/>
                <c:pt idx="0">
                  <c:v>4.2535437279522812</c:v>
                </c:pt>
                <c:pt idx="1">
                  <c:v>4.6394237560192622</c:v>
                </c:pt>
                <c:pt idx="2">
                  <c:v>2.2489143689320388</c:v>
                </c:pt>
                <c:pt idx="3">
                  <c:v>4.5735638065522624</c:v>
                </c:pt>
                <c:pt idx="4">
                  <c:v>2.6601423630241814</c:v>
                </c:pt>
                <c:pt idx="5">
                  <c:v>1.7197808857808856</c:v>
                </c:pt>
                <c:pt idx="6">
                  <c:v>2.4224254649499284</c:v>
                </c:pt>
                <c:pt idx="7">
                  <c:v>2.0291588692579503</c:v>
                </c:pt>
                <c:pt idx="8">
                  <c:v>13.163654529616725</c:v>
                </c:pt>
                <c:pt idx="9">
                  <c:v>1.8779301324503312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DBB-49F6-B553-6676C590718E}"/>
            </c:ext>
          </c:extLst>
        </c:ser>
        <c:ser>
          <c:idx val="1"/>
          <c:order val="1"/>
          <c:tx>
            <c:strRef>
              <c:f>'ΠΑ κλάδοι'!$D$15</c:f>
              <c:strCache>
                <c:ptCount val="1"/>
                <c:pt idx="0">
                  <c:v>secondary sector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'ΠΑ κλάδοι'!$A$16:$A$25</c:f>
              <c:strCache>
                <c:ptCount val="10"/>
                <c:pt idx="0">
                  <c:v>ELLADA</c:v>
                </c:pt>
                <c:pt idx="1">
                  <c:v>Lesvos, Limnos</c:v>
                </c:pt>
                <c:pt idx="2">
                  <c:v>Ikaria, Samos</c:v>
                </c:pt>
                <c:pt idx="3">
                  <c:v>Chios</c:v>
                </c:pt>
                <c:pt idx="4">
                  <c:v>Dodekanissa</c:v>
                </c:pt>
                <c:pt idx="5">
                  <c:v>Kyklades</c:v>
                </c:pt>
                <c:pt idx="6">
                  <c:v>Zakynthos</c:v>
                </c:pt>
                <c:pt idx="7">
                  <c:v>Kerkyra</c:v>
                </c:pt>
                <c:pt idx="8">
                  <c:v>Ithaki, Kefallinia</c:v>
                </c:pt>
                <c:pt idx="9">
                  <c:v>Lefkada</c:v>
                </c:pt>
              </c:strCache>
            </c:strRef>
          </c:cat>
          <c:val>
            <c:numRef>
              <c:f>'ΠΑ κλάδοι'!$D$16:$D$25</c:f>
              <c:numCache>
                <c:formatCode>0.0</c:formatCode>
                <c:ptCount val="10"/>
                <c:pt idx="0">
                  <c:v>17.000505909742706</c:v>
                </c:pt>
                <c:pt idx="1">
                  <c:v>9.9044316211878005</c:v>
                </c:pt>
                <c:pt idx="2">
                  <c:v>10.296345631067961</c:v>
                </c:pt>
                <c:pt idx="3">
                  <c:v>9.7177847113884557</c:v>
                </c:pt>
                <c:pt idx="4">
                  <c:v>9.5183585246403428</c:v>
                </c:pt>
                <c:pt idx="5">
                  <c:v>6.4326620435120425</c:v>
                </c:pt>
                <c:pt idx="6">
                  <c:v>5.0855722460658077</c:v>
                </c:pt>
                <c:pt idx="7">
                  <c:v>4.9766455830388692</c:v>
                </c:pt>
                <c:pt idx="8">
                  <c:v>7.4770020905923342</c:v>
                </c:pt>
                <c:pt idx="9">
                  <c:v>2.857573178807947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BB-49F6-B553-6676C590718E}"/>
            </c:ext>
          </c:extLst>
        </c:ser>
        <c:ser>
          <c:idx val="2"/>
          <c:order val="2"/>
          <c:tx>
            <c:strRef>
              <c:f>'ΠΑ κλάδοι'!$E$15</c:f>
              <c:strCache>
                <c:ptCount val="1"/>
                <c:pt idx="0">
                  <c:v>construction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'ΠΑ κλάδοι'!$A$16:$A$25</c:f>
              <c:strCache>
                <c:ptCount val="10"/>
                <c:pt idx="0">
                  <c:v>ELLADA</c:v>
                </c:pt>
                <c:pt idx="1">
                  <c:v>Lesvos, Limnos</c:v>
                </c:pt>
                <c:pt idx="2">
                  <c:v>Ikaria, Samos</c:v>
                </c:pt>
                <c:pt idx="3">
                  <c:v>Chios</c:v>
                </c:pt>
                <c:pt idx="4">
                  <c:v>Dodekanissa</c:v>
                </c:pt>
                <c:pt idx="5">
                  <c:v>Kyklades</c:v>
                </c:pt>
                <c:pt idx="6">
                  <c:v>Zakynthos</c:v>
                </c:pt>
                <c:pt idx="7">
                  <c:v>Kerkyra</c:v>
                </c:pt>
                <c:pt idx="8">
                  <c:v>Ithaki, Kefallinia</c:v>
                </c:pt>
                <c:pt idx="9">
                  <c:v>Lefkada</c:v>
                </c:pt>
              </c:strCache>
            </c:strRef>
          </c:cat>
          <c:val>
            <c:numRef>
              <c:f>'ΠΑ κλάδοι'!$E$16:$E$25</c:f>
              <c:numCache>
                <c:formatCode>0.0</c:formatCode>
                <c:ptCount val="10"/>
                <c:pt idx="0">
                  <c:v>1.922729346433381</c:v>
                </c:pt>
                <c:pt idx="1">
                  <c:v>3.1472963081861955</c:v>
                </c:pt>
                <c:pt idx="2">
                  <c:v>1.5913708737864078</c:v>
                </c:pt>
                <c:pt idx="3">
                  <c:v>2.6458361934477379</c:v>
                </c:pt>
                <c:pt idx="4">
                  <c:v>1.3909890419344966</c:v>
                </c:pt>
                <c:pt idx="5">
                  <c:v>5.3365184537684538</c:v>
                </c:pt>
                <c:pt idx="6">
                  <c:v>2.5413058655221747</c:v>
                </c:pt>
                <c:pt idx="7">
                  <c:v>1.6106520848056538</c:v>
                </c:pt>
                <c:pt idx="8">
                  <c:v>2.3445733449477353</c:v>
                </c:pt>
                <c:pt idx="9">
                  <c:v>6.5530980132450329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DBB-49F6-B553-6676C590718E}"/>
            </c:ext>
          </c:extLst>
        </c:ser>
        <c:ser>
          <c:idx val="3"/>
          <c:order val="3"/>
          <c:tx>
            <c:strRef>
              <c:f>'ΠΑ κλάδοι'!$F$15</c:f>
              <c:strCache>
                <c:ptCount val="1"/>
                <c:pt idx="0">
                  <c:v>trade, transport, tourism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'ΠΑ κλάδοι'!$A$16:$A$25</c:f>
              <c:strCache>
                <c:ptCount val="10"/>
                <c:pt idx="0">
                  <c:v>ELLADA</c:v>
                </c:pt>
                <c:pt idx="1">
                  <c:v>Lesvos, Limnos</c:v>
                </c:pt>
                <c:pt idx="2">
                  <c:v>Ikaria, Samos</c:v>
                </c:pt>
                <c:pt idx="3">
                  <c:v>Chios</c:v>
                </c:pt>
                <c:pt idx="4">
                  <c:v>Dodekanissa</c:v>
                </c:pt>
                <c:pt idx="5">
                  <c:v>Kyklades</c:v>
                </c:pt>
                <c:pt idx="6">
                  <c:v>Zakynthos</c:v>
                </c:pt>
                <c:pt idx="7">
                  <c:v>Kerkyra</c:v>
                </c:pt>
                <c:pt idx="8">
                  <c:v>Ithaki, Kefallinia</c:v>
                </c:pt>
                <c:pt idx="9">
                  <c:v>Lefkada</c:v>
                </c:pt>
              </c:strCache>
            </c:strRef>
          </c:cat>
          <c:val>
            <c:numRef>
              <c:f>'ΠΑ κλάδοι'!$F$16:$F$25</c:f>
              <c:numCache>
                <c:formatCode>0.0</c:formatCode>
                <c:ptCount val="10"/>
                <c:pt idx="0">
                  <c:v>25.04283748780049</c:v>
                </c:pt>
                <c:pt idx="1">
                  <c:v>23.359810513643662</c:v>
                </c:pt>
                <c:pt idx="2">
                  <c:v>30.261569902912623</c:v>
                </c:pt>
                <c:pt idx="3">
                  <c:v>20.168270046801872</c:v>
                </c:pt>
                <c:pt idx="4">
                  <c:v>47.644989990817265</c:v>
                </c:pt>
                <c:pt idx="5">
                  <c:v>51.677241724941723</c:v>
                </c:pt>
                <c:pt idx="6">
                  <c:v>55.245467954220317</c:v>
                </c:pt>
                <c:pt idx="7">
                  <c:v>44.801911519434626</c:v>
                </c:pt>
                <c:pt idx="8">
                  <c:v>41.610313240418115</c:v>
                </c:pt>
                <c:pt idx="9">
                  <c:v>46.370164238410595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DBB-49F6-B553-6676C590718E}"/>
            </c:ext>
          </c:extLst>
        </c:ser>
        <c:ser>
          <c:idx val="4"/>
          <c:order val="4"/>
          <c:tx>
            <c:strRef>
              <c:f>'ΠΑ κλάδοι'!$G$15</c:f>
              <c:strCache>
                <c:ptCount val="1"/>
                <c:pt idx="0">
                  <c:v>Information and communication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'ΠΑ κλάδοι'!$A$16:$A$25</c:f>
              <c:strCache>
                <c:ptCount val="10"/>
                <c:pt idx="0">
                  <c:v>ELLADA</c:v>
                </c:pt>
                <c:pt idx="1">
                  <c:v>Lesvos, Limnos</c:v>
                </c:pt>
                <c:pt idx="2">
                  <c:v>Ikaria, Samos</c:v>
                </c:pt>
                <c:pt idx="3">
                  <c:v>Chios</c:v>
                </c:pt>
                <c:pt idx="4">
                  <c:v>Dodekanissa</c:v>
                </c:pt>
                <c:pt idx="5">
                  <c:v>Kyklades</c:v>
                </c:pt>
                <c:pt idx="6">
                  <c:v>Zakynthos</c:v>
                </c:pt>
                <c:pt idx="7">
                  <c:v>Kerkyra</c:v>
                </c:pt>
                <c:pt idx="8">
                  <c:v>Ithaki, Kefallinia</c:v>
                </c:pt>
                <c:pt idx="9">
                  <c:v>Lefkada</c:v>
                </c:pt>
              </c:strCache>
            </c:strRef>
          </c:cat>
          <c:val>
            <c:numRef>
              <c:f>'ΠΑ κλάδοι'!$G$16:$G$25</c:f>
              <c:numCache>
                <c:formatCode>0.0</c:formatCode>
                <c:ptCount val="10"/>
                <c:pt idx="0">
                  <c:v>3.5266223173344815</c:v>
                </c:pt>
                <c:pt idx="1">
                  <c:v>1.8438715088282505</c:v>
                </c:pt>
                <c:pt idx="2">
                  <c:v>0.74831572815533987</c:v>
                </c:pt>
                <c:pt idx="3">
                  <c:v>1.386807488299532</c:v>
                </c:pt>
                <c:pt idx="4">
                  <c:v>1.0413118151209062</c:v>
                </c:pt>
                <c:pt idx="5">
                  <c:v>0.68965672105672116</c:v>
                </c:pt>
                <c:pt idx="6">
                  <c:v>0.71884735336194572</c:v>
                </c:pt>
                <c:pt idx="7">
                  <c:v>1.3109087632508833</c:v>
                </c:pt>
                <c:pt idx="8">
                  <c:v>0.5862811846689896</c:v>
                </c:pt>
                <c:pt idx="9">
                  <c:v>0.25007748344370861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DBB-49F6-B553-6676C590718E}"/>
            </c:ext>
          </c:extLst>
        </c:ser>
        <c:ser>
          <c:idx val="5"/>
          <c:order val="5"/>
          <c:tx>
            <c:strRef>
              <c:f>'ΠΑ κλάδοι'!$H$15</c:f>
              <c:strCache>
                <c:ptCount val="1"/>
                <c:pt idx="0">
                  <c:v>Financial and insurance activities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'ΠΑ κλάδοι'!$A$16:$A$25</c:f>
              <c:strCache>
                <c:ptCount val="10"/>
                <c:pt idx="0">
                  <c:v>ELLADA</c:v>
                </c:pt>
                <c:pt idx="1">
                  <c:v>Lesvos, Limnos</c:v>
                </c:pt>
                <c:pt idx="2">
                  <c:v>Ikaria, Samos</c:v>
                </c:pt>
                <c:pt idx="3">
                  <c:v>Chios</c:v>
                </c:pt>
                <c:pt idx="4">
                  <c:v>Dodekanissa</c:v>
                </c:pt>
                <c:pt idx="5">
                  <c:v>Kyklades</c:v>
                </c:pt>
                <c:pt idx="6">
                  <c:v>Zakynthos</c:v>
                </c:pt>
                <c:pt idx="7">
                  <c:v>Kerkyra</c:v>
                </c:pt>
                <c:pt idx="8">
                  <c:v>Ithaki, Kefallinia</c:v>
                </c:pt>
                <c:pt idx="9">
                  <c:v>Lefkada</c:v>
                </c:pt>
              </c:strCache>
            </c:strRef>
          </c:cat>
          <c:val>
            <c:numRef>
              <c:f>'ΠΑ κλάδοι'!$H$16:$H$25</c:f>
              <c:numCache>
                <c:formatCode>0.0</c:formatCode>
                <c:ptCount val="10"/>
                <c:pt idx="0">
                  <c:v>4.8964705145330933</c:v>
                </c:pt>
                <c:pt idx="1">
                  <c:v>3.2405942215088279</c:v>
                </c:pt>
                <c:pt idx="2">
                  <c:v>3.492475339805825</c:v>
                </c:pt>
                <c:pt idx="3">
                  <c:v>6.4766553822152879</c:v>
                </c:pt>
                <c:pt idx="4">
                  <c:v>2.6133631466176919</c:v>
                </c:pt>
                <c:pt idx="5">
                  <c:v>2.4277286713286714</c:v>
                </c:pt>
                <c:pt idx="6">
                  <c:v>1.7805293276108727</c:v>
                </c:pt>
                <c:pt idx="7">
                  <c:v>2.0686117314487631</c:v>
                </c:pt>
                <c:pt idx="8">
                  <c:v>2.0249282229965155</c:v>
                </c:pt>
                <c:pt idx="9">
                  <c:v>2.4494129139072847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DBB-49F6-B553-6676C590718E}"/>
            </c:ext>
          </c:extLst>
        </c:ser>
        <c:ser>
          <c:idx val="6"/>
          <c:order val="6"/>
          <c:tx>
            <c:strRef>
              <c:f>'ΠΑ κλάδοι'!$I$15</c:f>
              <c:strCache>
                <c:ptCount val="1"/>
                <c:pt idx="0">
                  <c:v>Real estate activities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'ΠΑ κλάδοι'!$A$16:$A$25</c:f>
              <c:strCache>
                <c:ptCount val="10"/>
                <c:pt idx="0">
                  <c:v>ELLADA</c:v>
                </c:pt>
                <c:pt idx="1">
                  <c:v>Lesvos, Limnos</c:v>
                </c:pt>
                <c:pt idx="2">
                  <c:v>Ikaria, Samos</c:v>
                </c:pt>
                <c:pt idx="3">
                  <c:v>Chios</c:v>
                </c:pt>
                <c:pt idx="4">
                  <c:v>Dodekanissa</c:v>
                </c:pt>
                <c:pt idx="5">
                  <c:v>Kyklades</c:v>
                </c:pt>
                <c:pt idx="6">
                  <c:v>Zakynthos</c:v>
                </c:pt>
                <c:pt idx="7">
                  <c:v>Kerkyra</c:v>
                </c:pt>
                <c:pt idx="8">
                  <c:v>Ithaki, Kefallinia</c:v>
                </c:pt>
                <c:pt idx="9">
                  <c:v>Lefkada</c:v>
                </c:pt>
              </c:strCache>
            </c:strRef>
          </c:cat>
          <c:val>
            <c:numRef>
              <c:f>'ΠΑ κλάδοι'!$I$16:$I$25</c:f>
              <c:numCache>
                <c:formatCode>0.0</c:formatCode>
                <c:ptCount val="10"/>
                <c:pt idx="0">
                  <c:v>16.070871830717142</c:v>
                </c:pt>
                <c:pt idx="1">
                  <c:v>15.354642054574638</c:v>
                </c:pt>
                <c:pt idx="2">
                  <c:v>15.322893009708737</c:v>
                </c:pt>
                <c:pt idx="3">
                  <c:v>17.42895553822153</c:v>
                </c:pt>
                <c:pt idx="4">
                  <c:v>10.784398836853381</c:v>
                </c:pt>
                <c:pt idx="5">
                  <c:v>16.102042540792542</c:v>
                </c:pt>
                <c:pt idx="6">
                  <c:v>13.839470815450644</c:v>
                </c:pt>
                <c:pt idx="7">
                  <c:v>16.981693851590105</c:v>
                </c:pt>
                <c:pt idx="8">
                  <c:v>18.170161324041814</c:v>
                </c:pt>
                <c:pt idx="9">
                  <c:v>17.212361258278143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DBB-49F6-B553-6676C590718E}"/>
            </c:ext>
          </c:extLst>
        </c:ser>
        <c:ser>
          <c:idx val="7"/>
          <c:order val="7"/>
          <c:tx>
            <c:strRef>
              <c:f>'ΠΑ κλάδοι'!$J$15</c:f>
              <c:strCache>
                <c:ptCount val="1"/>
                <c:pt idx="0">
                  <c:v>Professional, scientific and technical activities, administrative and support service activities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'ΠΑ κλάδοι'!$A$16:$A$25</c:f>
              <c:strCache>
                <c:ptCount val="10"/>
                <c:pt idx="0">
                  <c:v>ELLADA</c:v>
                </c:pt>
                <c:pt idx="1">
                  <c:v>Lesvos, Limnos</c:v>
                </c:pt>
                <c:pt idx="2">
                  <c:v>Ikaria, Samos</c:v>
                </c:pt>
                <c:pt idx="3">
                  <c:v>Chios</c:v>
                </c:pt>
                <c:pt idx="4">
                  <c:v>Dodekanissa</c:v>
                </c:pt>
                <c:pt idx="5">
                  <c:v>Kyklades</c:v>
                </c:pt>
                <c:pt idx="6">
                  <c:v>Zakynthos</c:v>
                </c:pt>
                <c:pt idx="7">
                  <c:v>Kerkyra</c:v>
                </c:pt>
                <c:pt idx="8">
                  <c:v>Ithaki, Kefallinia</c:v>
                </c:pt>
                <c:pt idx="9">
                  <c:v>Lefkada</c:v>
                </c:pt>
              </c:strCache>
            </c:strRef>
          </c:cat>
          <c:val>
            <c:numRef>
              <c:f>'ΠΑ κλάδοι'!$J$16:$J$25</c:f>
              <c:numCache>
                <c:formatCode>0.0</c:formatCode>
                <c:ptCount val="10"/>
                <c:pt idx="0">
                  <c:v>5.7994749739652907</c:v>
                </c:pt>
                <c:pt idx="1">
                  <c:v>3.7817314606741572</c:v>
                </c:pt>
                <c:pt idx="2">
                  <c:v>2.9737959223300972</c:v>
                </c:pt>
                <c:pt idx="3">
                  <c:v>4.0196319812792511</c:v>
                </c:pt>
                <c:pt idx="4">
                  <c:v>5.1468771349862257</c:v>
                </c:pt>
                <c:pt idx="5">
                  <c:v>3.3761817793317794</c:v>
                </c:pt>
                <c:pt idx="6">
                  <c:v>3.6407263233190275</c:v>
                </c:pt>
                <c:pt idx="7">
                  <c:v>5.2385346289752652</c:v>
                </c:pt>
                <c:pt idx="8">
                  <c:v>2.3844360627177701</c:v>
                </c:pt>
                <c:pt idx="9">
                  <c:v>3.7727205298013247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DBB-49F6-B553-6676C590718E}"/>
            </c:ext>
          </c:extLst>
        </c:ser>
        <c:ser>
          <c:idx val="8"/>
          <c:order val="8"/>
          <c:tx>
            <c:strRef>
              <c:f>'ΠΑ κλάδοι'!$K$15</c:f>
              <c:strCache>
                <c:ptCount val="1"/>
                <c:pt idx="0">
                  <c:v>Public administration and defence, compulsory social security, education, human health and social work activities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'ΠΑ κλάδοι'!$A$16:$A$25</c:f>
              <c:strCache>
                <c:ptCount val="10"/>
                <c:pt idx="0">
                  <c:v>ELLADA</c:v>
                </c:pt>
                <c:pt idx="1">
                  <c:v>Lesvos, Limnos</c:v>
                </c:pt>
                <c:pt idx="2">
                  <c:v>Ikaria, Samos</c:v>
                </c:pt>
                <c:pt idx="3">
                  <c:v>Chios</c:v>
                </c:pt>
                <c:pt idx="4">
                  <c:v>Dodekanissa</c:v>
                </c:pt>
                <c:pt idx="5">
                  <c:v>Kyklades</c:v>
                </c:pt>
                <c:pt idx="6">
                  <c:v>Zakynthos</c:v>
                </c:pt>
                <c:pt idx="7">
                  <c:v>Kerkyra</c:v>
                </c:pt>
                <c:pt idx="8">
                  <c:v>Ithaki, Kefallinia</c:v>
                </c:pt>
                <c:pt idx="9">
                  <c:v>Lefkada</c:v>
                </c:pt>
              </c:strCache>
            </c:strRef>
          </c:cat>
          <c:val>
            <c:numRef>
              <c:f>'ΠΑ κλάδοι'!$K$16:$K$25</c:f>
              <c:numCache>
                <c:formatCode>0.0</c:formatCode>
                <c:ptCount val="10"/>
                <c:pt idx="0">
                  <c:v>18.177900017447346</c:v>
                </c:pt>
                <c:pt idx="1">
                  <c:v>32.147070224719101</c:v>
                </c:pt>
                <c:pt idx="2">
                  <c:v>30.037733203883494</c:v>
                </c:pt>
                <c:pt idx="3">
                  <c:v>30.613244617784712</c:v>
                </c:pt>
                <c:pt idx="4">
                  <c:v>16.76018910315274</c:v>
                </c:pt>
                <c:pt idx="5">
                  <c:v>9.3965538850038861</c:v>
                </c:pt>
                <c:pt idx="6">
                  <c:v>10.971995135908442</c:v>
                </c:pt>
                <c:pt idx="7">
                  <c:v>16.557606077738516</c:v>
                </c:pt>
                <c:pt idx="8">
                  <c:v>10.745923344947736</c:v>
                </c:pt>
                <c:pt idx="9">
                  <c:v>14.330227483443709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9DBB-49F6-B553-6676C590718E}"/>
            </c:ext>
          </c:extLst>
        </c:ser>
        <c:ser>
          <c:idx val="9"/>
          <c:order val="9"/>
          <c:tx>
            <c:strRef>
              <c:f>'ΠΑ κλάδοι'!$L$15</c:f>
              <c:strCache>
                <c:ptCount val="1"/>
                <c:pt idx="0">
                  <c:v>Arts, entertainment, recreation, other service activities, activities of households as employers, 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'ΠΑ κλάδοι'!$A$16:$A$25</c:f>
              <c:strCache>
                <c:ptCount val="10"/>
                <c:pt idx="0">
                  <c:v>ELLADA</c:v>
                </c:pt>
                <c:pt idx="1">
                  <c:v>Lesvos, Limnos</c:v>
                </c:pt>
                <c:pt idx="2">
                  <c:v>Ikaria, Samos</c:v>
                </c:pt>
                <c:pt idx="3">
                  <c:v>Chios</c:v>
                </c:pt>
                <c:pt idx="4">
                  <c:v>Dodekanissa</c:v>
                </c:pt>
                <c:pt idx="5">
                  <c:v>Kyklades</c:v>
                </c:pt>
                <c:pt idx="6">
                  <c:v>Zakynthos</c:v>
                </c:pt>
                <c:pt idx="7">
                  <c:v>Kerkyra</c:v>
                </c:pt>
                <c:pt idx="8">
                  <c:v>Ithaki, Kefallinia</c:v>
                </c:pt>
                <c:pt idx="9">
                  <c:v>Lefkada</c:v>
                </c:pt>
              </c:strCache>
            </c:strRef>
          </c:cat>
          <c:val>
            <c:numRef>
              <c:f>'ΠΑ κλάδοι'!$L$16:$L$25</c:f>
              <c:numCache>
                <c:formatCode>0.0</c:formatCode>
                <c:ptCount val="10"/>
                <c:pt idx="0">
                  <c:v>3.308866507096162</c:v>
                </c:pt>
                <c:pt idx="1">
                  <c:v>2.5681597110754413</c:v>
                </c:pt>
                <c:pt idx="2">
                  <c:v>3.0366611650485433</c:v>
                </c:pt>
                <c:pt idx="3">
                  <c:v>2.9372600624024958</c:v>
                </c:pt>
                <c:pt idx="4">
                  <c:v>2.4536195286195288</c:v>
                </c:pt>
                <c:pt idx="5">
                  <c:v>2.8518781274281273</c:v>
                </c:pt>
                <c:pt idx="6">
                  <c:v>3.7613094420600861</c:v>
                </c:pt>
                <c:pt idx="7">
                  <c:v>4.450695477031803</c:v>
                </c:pt>
                <c:pt idx="8">
                  <c:v>1.4491665505226479</c:v>
                </c:pt>
                <c:pt idx="9">
                  <c:v>4.2164443708609269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9DBB-49F6-B553-6676C59071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683234703"/>
        <c:axId val="1683233263"/>
      </c:barChart>
      <c:catAx>
        <c:axId val="1683234703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683233263"/>
        <c:crosses val="autoZero"/>
        <c:auto val="1"/>
        <c:lblAlgn val="ctr"/>
        <c:lblOffset val="100"/>
        <c:noMultiLvlLbl val="0"/>
      </c:catAx>
      <c:valAx>
        <c:axId val="1683233263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68323470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'ΠΑ κλάδοι'!$A$16</c:f>
              <c:strCache>
                <c:ptCount val="1"/>
                <c:pt idx="0">
                  <c:v>ELLADA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'ΠΑ κλάδοι'!$B$15:$L$15</c:f>
              <c:strCache>
                <c:ptCount val="11"/>
                <c:pt idx="0">
                  <c:v>agriculture</c:v>
                </c:pt>
                <c:pt idx="1">
                  <c:v>manufacture</c:v>
                </c:pt>
                <c:pt idx="2">
                  <c:v>secondary sector</c:v>
                </c:pt>
                <c:pt idx="3">
                  <c:v>construction</c:v>
                </c:pt>
                <c:pt idx="4">
                  <c:v>trade, transport, tourism</c:v>
                </c:pt>
                <c:pt idx="5">
                  <c:v>Information and communication</c:v>
                </c:pt>
                <c:pt idx="6">
                  <c:v>Financial and insurance activities</c:v>
                </c:pt>
                <c:pt idx="7">
                  <c:v>Real estate activities</c:v>
                </c:pt>
                <c:pt idx="8">
                  <c:v>Professional, scientific and technical activities, administrative and support service activities</c:v>
                </c:pt>
                <c:pt idx="9">
                  <c:v>Public administration and defence, compulsory social security, education, human health and social work activities</c:v>
                </c:pt>
                <c:pt idx="10">
                  <c:v>Arts, entertainment, recreation, other service activities, activities of households as employers, </c:v>
                </c:pt>
              </c:strCache>
            </c:strRef>
          </c:cat>
          <c:val>
            <c:numRef>
              <c:f>'ΠΑ κλάδοι'!$B$16:$L$16</c:f>
              <c:numCache>
                <c:formatCode>0.0</c:formatCode>
                <c:ptCount val="11"/>
                <c:pt idx="0">
                  <c:v>4.2535437279522812</c:v>
                </c:pt>
                <c:pt idx="1">
                  <c:v>10.374701031029012</c:v>
                </c:pt>
                <c:pt idx="2">
                  <c:v>17.000505909742706</c:v>
                </c:pt>
                <c:pt idx="3">
                  <c:v>1.922729346433381</c:v>
                </c:pt>
                <c:pt idx="4">
                  <c:v>25.04283748780049</c:v>
                </c:pt>
                <c:pt idx="5">
                  <c:v>3.5266223173344815</c:v>
                </c:pt>
                <c:pt idx="6">
                  <c:v>4.8964705145330933</c:v>
                </c:pt>
                <c:pt idx="7">
                  <c:v>16.070871830717142</c:v>
                </c:pt>
                <c:pt idx="8">
                  <c:v>5.7994749739652907</c:v>
                </c:pt>
                <c:pt idx="9">
                  <c:v>18.177900017447346</c:v>
                </c:pt>
                <c:pt idx="10">
                  <c:v>3.308866507096162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B2-4885-A1DA-0C7360E14BC1}"/>
            </c:ext>
          </c:extLst>
        </c:ser>
        <c:ser>
          <c:idx val="1"/>
          <c:order val="1"/>
          <c:tx>
            <c:strRef>
              <c:f>'ΠΑ κλάδοι'!$A$17</c:f>
              <c:strCache>
                <c:ptCount val="1"/>
                <c:pt idx="0">
                  <c:v>Lesvos, Limnos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'ΠΑ κλάδοι'!$B$15:$L$15</c:f>
              <c:strCache>
                <c:ptCount val="11"/>
                <c:pt idx="0">
                  <c:v>agriculture</c:v>
                </c:pt>
                <c:pt idx="1">
                  <c:v>manufacture</c:v>
                </c:pt>
                <c:pt idx="2">
                  <c:v>secondary sector</c:v>
                </c:pt>
                <c:pt idx="3">
                  <c:v>construction</c:v>
                </c:pt>
                <c:pt idx="4">
                  <c:v>trade, transport, tourism</c:v>
                </c:pt>
                <c:pt idx="5">
                  <c:v>Information and communication</c:v>
                </c:pt>
                <c:pt idx="6">
                  <c:v>Financial and insurance activities</c:v>
                </c:pt>
                <c:pt idx="7">
                  <c:v>Real estate activities</c:v>
                </c:pt>
                <c:pt idx="8">
                  <c:v>Professional, scientific and technical activities, administrative and support service activities</c:v>
                </c:pt>
                <c:pt idx="9">
                  <c:v>Public administration and defence, compulsory social security, education, human health and social work activities</c:v>
                </c:pt>
                <c:pt idx="10">
                  <c:v>Arts, entertainment, recreation, other service activities, activities of households as employers, </c:v>
                </c:pt>
              </c:strCache>
            </c:strRef>
          </c:cat>
          <c:val>
            <c:numRef>
              <c:f>'ΠΑ κλάδοι'!$B$17:$L$17</c:f>
              <c:numCache>
                <c:formatCode>0.0</c:formatCode>
                <c:ptCount val="11"/>
                <c:pt idx="0">
                  <c:v>4.6394237560192622</c:v>
                </c:pt>
                <c:pt idx="1">
                  <c:v>4.0183647672552159</c:v>
                </c:pt>
                <c:pt idx="2">
                  <c:v>9.9044316211878005</c:v>
                </c:pt>
                <c:pt idx="3">
                  <c:v>3.1472963081861955</c:v>
                </c:pt>
                <c:pt idx="4">
                  <c:v>23.359810513643662</c:v>
                </c:pt>
                <c:pt idx="5">
                  <c:v>1.8438715088282505</c:v>
                </c:pt>
                <c:pt idx="6">
                  <c:v>3.2405942215088279</c:v>
                </c:pt>
                <c:pt idx="7">
                  <c:v>15.354642054574638</c:v>
                </c:pt>
                <c:pt idx="8">
                  <c:v>3.7817314606741572</c:v>
                </c:pt>
                <c:pt idx="9">
                  <c:v>32.147070224719101</c:v>
                </c:pt>
                <c:pt idx="10">
                  <c:v>2.5681597110754413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2B2-4885-A1DA-0C7360E14BC1}"/>
            </c:ext>
          </c:extLst>
        </c:ser>
        <c:ser>
          <c:idx val="2"/>
          <c:order val="2"/>
          <c:tx>
            <c:strRef>
              <c:f>'ΠΑ κλάδοι'!$A$18</c:f>
              <c:strCache>
                <c:ptCount val="1"/>
                <c:pt idx="0">
                  <c:v>Ikaria, Samos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'ΠΑ κλάδοι'!$B$15:$L$15</c:f>
              <c:strCache>
                <c:ptCount val="11"/>
                <c:pt idx="0">
                  <c:v>agriculture</c:v>
                </c:pt>
                <c:pt idx="1">
                  <c:v>manufacture</c:v>
                </c:pt>
                <c:pt idx="2">
                  <c:v>secondary sector</c:v>
                </c:pt>
                <c:pt idx="3">
                  <c:v>construction</c:v>
                </c:pt>
                <c:pt idx="4">
                  <c:v>trade, transport, tourism</c:v>
                </c:pt>
                <c:pt idx="5">
                  <c:v>Information and communication</c:v>
                </c:pt>
                <c:pt idx="6">
                  <c:v>Financial and insurance activities</c:v>
                </c:pt>
                <c:pt idx="7">
                  <c:v>Real estate activities</c:v>
                </c:pt>
                <c:pt idx="8">
                  <c:v>Professional, scientific and technical activities, administrative and support service activities</c:v>
                </c:pt>
                <c:pt idx="9">
                  <c:v>Public administration and defence, compulsory social security, education, human health and social work activities</c:v>
                </c:pt>
                <c:pt idx="10">
                  <c:v>Arts, entertainment, recreation, other service activities, activities of households as employers, </c:v>
                </c:pt>
              </c:strCache>
            </c:strRef>
          </c:cat>
          <c:val>
            <c:numRef>
              <c:f>'ΠΑ κλάδοι'!$B$18:$L$18</c:f>
              <c:numCache>
                <c:formatCode>0.0</c:formatCode>
                <c:ptCount val="11"/>
                <c:pt idx="0">
                  <c:v>2.2489143689320388</c:v>
                </c:pt>
                <c:pt idx="1">
                  <c:v>4.2197256310679618</c:v>
                </c:pt>
                <c:pt idx="2">
                  <c:v>10.296345631067961</c:v>
                </c:pt>
                <c:pt idx="3">
                  <c:v>1.5913708737864078</c:v>
                </c:pt>
                <c:pt idx="4">
                  <c:v>30.261569902912623</c:v>
                </c:pt>
                <c:pt idx="5">
                  <c:v>0.74831572815533987</c:v>
                </c:pt>
                <c:pt idx="6">
                  <c:v>3.492475339805825</c:v>
                </c:pt>
                <c:pt idx="7">
                  <c:v>15.322893009708737</c:v>
                </c:pt>
                <c:pt idx="8">
                  <c:v>2.9737959223300972</c:v>
                </c:pt>
                <c:pt idx="9">
                  <c:v>30.037733203883494</c:v>
                </c:pt>
                <c:pt idx="10">
                  <c:v>3.0366611650485433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2B2-4885-A1DA-0C7360E14BC1}"/>
            </c:ext>
          </c:extLst>
        </c:ser>
        <c:ser>
          <c:idx val="3"/>
          <c:order val="3"/>
          <c:tx>
            <c:strRef>
              <c:f>'ΠΑ κλάδοι'!$A$19</c:f>
              <c:strCache>
                <c:ptCount val="1"/>
                <c:pt idx="0">
                  <c:v>Chios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'ΠΑ κλάδοι'!$B$15:$L$15</c:f>
              <c:strCache>
                <c:ptCount val="11"/>
                <c:pt idx="0">
                  <c:v>agriculture</c:v>
                </c:pt>
                <c:pt idx="1">
                  <c:v>manufacture</c:v>
                </c:pt>
                <c:pt idx="2">
                  <c:v>secondary sector</c:v>
                </c:pt>
                <c:pt idx="3">
                  <c:v>construction</c:v>
                </c:pt>
                <c:pt idx="4">
                  <c:v>trade, transport, tourism</c:v>
                </c:pt>
                <c:pt idx="5">
                  <c:v>Information and communication</c:v>
                </c:pt>
                <c:pt idx="6">
                  <c:v>Financial and insurance activities</c:v>
                </c:pt>
                <c:pt idx="7">
                  <c:v>Real estate activities</c:v>
                </c:pt>
                <c:pt idx="8">
                  <c:v>Professional, scientific and technical activities, administrative and support service activities</c:v>
                </c:pt>
                <c:pt idx="9">
                  <c:v>Public administration and defence, compulsory social security, education, human health and social work activities</c:v>
                </c:pt>
                <c:pt idx="10">
                  <c:v>Arts, entertainment, recreation, other service activities, activities of households as employers, </c:v>
                </c:pt>
              </c:strCache>
            </c:strRef>
          </c:cat>
          <c:val>
            <c:numRef>
              <c:f>'ΠΑ κλάδοι'!$B$19:$L$19</c:f>
              <c:numCache>
                <c:formatCode>0.0</c:formatCode>
                <c:ptCount val="11"/>
                <c:pt idx="0">
                  <c:v>4.5735638065522624</c:v>
                </c:pt>
                <c:pt idx="1">
                  <c:v>3.1366168486739467</c:v>
                </c:pt>
                <c:pt idx="2">
                  <c:v>9.7177847113884557</c:v>
                </c:pt>
                <c:pt idx="3">
                  <c:v>2.6458361934477379</c:v>
                </c:pt>
                <c:pt idx="4">
                  <c:v>20.168270046801872</c:v>
                </c:pt>
                <c:pt idx="5">
                  <c:v>1.386807488299532</c:v>
                </c:pt>
                <c:pt idx="6">
                  <c:v>6.4766553822152879</c:v>
                </c:pt>
                <c:pt idx="7">
                  <c:v>17.42895553822153</c:v>
                </c:pt>
                <c:pt idx="8">
                  <c:v>4.0196319812792511</c:v>
                </c:pt>
                <c:pt idx="9">
                  <c:v>30.613244617784712</c:v>
                </c:pt>
                <c:pt idx="10">
                  <c:v>2.9372600624024958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2B2-4885-A1DA-0C7360E14BC1}"/>
            </c:ext>
          </c:extLst>
        </c:ser>
        <c:ser>
          <c:idx val="4"/>
          <c:order val="4"/>
          <c:tx>
            <c:strRef>
              <c:f>'ΠΑ κλάδοι'!$A$20</c:f>
              <c:strCache>
                <c:ptCount val="1"/>
                <c:pt idx="0">
                  <c:v>Dodekanissa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'ΠΑ κλάδοι'!$B$15:$L$15</c:f>
              <c:strCache>
                <c:ptCount val="11"/>
                <c:pt idx="0">
                  <c:v>agriculture</c:v>
                </c:pt>
                <c:pt idx="1">
                  <c:v>manufacture</c:v>
                </c:pt>
                <c:pt idx="2">
                  <c:v>secondary sector</c:v>
                </c:pt>
                <c:pt idx="3">
                  <c:v>construction</c:v>
                </c:pt>
                <c:pt idx="4">
                  <c:v>trade, transport, tourism</c:v>
                </c:pt>
                <c:pt idx="5">
                  <c:v>Information and communication</c:v>
                </c:pt>
                <c:pt idx="6">
                  <c:v>Financial and insurance activities</c:v>
                </c:pt>
                <c:pt idx="7">
                  <c:v>Real estate activities</c:v>
                </c:pt>
                <c:pt idx="8">
                  <c:v>Professional, scientific and technical activities, administrative and support service activities</c:v>
                </c:pt>
                <c:pt idx="9">
                  <c:v>Public administration and defence, compulsory social security, education, human health and social work activities</c:v>
                </c:pt>
                <c:pt idx="10">
                  <c:v>Arts, entertainment, recreation, other service activities, activities of households as employers, </c:v>
                </c:pt>
              </c:strCache>
            </c:strRef>
          </c:cat>
          <c:val>
            <c:numRef>
              <c:f>'ΠΑ κλάδοι'!$B$20:$L$20</c:f>
              <c:numCache>
                <c:formatCode>0.0</c:formatCode>
                <c:ptCount val="11"/>
                <c:pt idx="0">
                  <c:v>2.6601423630241814</c:v>
                </c:pt>
                <c:pt idx="1">
                  <c:v>2.6520096112641567</c:v>
                </c:pt>
                <c:pt idx="2">
                  <c:v>9.5183585246403428</c:v>
                </c:pt>
                <c:pt idx="3">
                  <c:v>1.3909890419344966</c:v>
                </c:pt>
                <c:pt idx="4">
                  <c:v>47.644989990817265</c:v>
                </c:pt>
                <c:pt idx="5">
                  <c:v>1.0413118151209062</c:v>
                </c:pt>
                <c:pt idx="6">
                  <c:v>2.6133631466176919</c:v>
                </c:pt>
                <c:pt idx="7">
                  <c:v>10.784398836853381</c:v>
                </c:pt>
                <c:pt idx="8">
                  <c:v>5.1468771349862257</c:v>
                </c:pt>
                <c:pt idx="9">
                  <c:v>16.76018910315274</c:v>
                </c:pt>
                <c:pt idx="10">
                  <c:v>2.4536195286195288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2B2-4885-A1DA-0C7360E14BC1}"/>
            </c:ext>
          </c:extLst>
        </c:ser>
        <c:ser>
          <c:idx val="5"/>
          <c:order val="5"/>
          <c:tx>
            <c:strRef>
              <c:f>'ΠΑ κλάδοι'!$A$21</c:f>
              <c:strCache>
                <c:ptCount val="1"/>
                <c:pt idx="0">
                  <c:v>Kyklades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'ΠΑ κλάδοι'!$B$15:$L$15</c:f>
              <c:strCache>
                <c:ptCount val="11"/>
                <c:pt idx="0">
                  <c:v>agriculture</c:v>
                </c:pt>
                <c:pt idx="1">
                  <c:v>manufacture</c:v>
                </c:pt>
                <c:pt idx="2">
                  <c:v>secondary sector</c:v>
                </c:pt>
                <c:pt idx="3">
                  <c:v>construction</c:v>
                </c:pt>
                <c:pt idx="4">
                  <c:v>trade, transport, tourism</c:v>
                </c:pt>
                <c:pt idx="5">
                  <c:v>Information and communication</c:v>
                </c:pt>
                <c:pt idx="6">
                  <c:v>Financial and insurance activities</c:v>
                </c:pt>
                <c:pt idx="7">
                  <c:v>Real estate activities</c:v>
                </c:pt>
                <c:pt idx="8">
                  <c:v>Professional, scientific and technical activities, administrative and support service activities</c:v>
                </c:pt>
                <c:pt idx="9">
                  <c:v>Public administration and defence, compulsory social security, education, human health and social work activities</c:v>
                </c:pt>
                <c:pt idx="10">
                  <c:v>Arts, entertainment, recreation, other service activities, activities of households as employers, </c:v>
                </c:pt>
              </c:strCache>
            </c:strRef>
          </c:cat>
          <c:val>
            <c:numRef>
              <c:f>'ΠΑ κλάδοι'!$B$21:$L$21</c:f>
              <c:numCache>
                <c:formatCode>0.0</c:formatCode>
                <c:ptCount val="11"/>
                <c:pt idx="0">
                  <c:v>1.7197808857808856</c:v>
                </c:pt>
                <c:pt idx="1">
                  <c:v>2.1046405205905208</c:v>
                </c:pt>
                <c:pt idx="2">
                  <c:v>6.4326620435120425</c:v>
                </c:pt>
                <c:pt idx="3">
                  <c:v>5.3365184537684538</c:v>
                </c:pt>
                <c:pt idx="4">
                  <c:v>51.677241724941723</c:v>
                </c:pt>
                <c:pt idx="5">
                  <c:v>0.68965672105672116</c:v>
                </c:pt>
                <c:pt idx="6">
                  <c:v>2.4277286713286714</c:v>
                </c:pt>
                <c:pt idx="7">
                  <c:v>16.102042540792542</c:v>
                </c:pt>
                <c:pt idx="8">
                  <c:v>3.3761817793317794</c:v>
                </c:pt>
                <c:pt idx="9">
                  <c:v>9.3965538850038861</c:v>
                </c:pt>
                <c:pt idx="10">
                  <c:v>2.8518781274281273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2B2-4885-A1DA-0C7360E14BC1}"/>
            </c:ext>
          </c:extLst>
        </c:ser>
        <c:ser>
          <c:idx val="6"/>
          <c:order val="6"/>
          <c:tx>
            <c:strRef>
              <c:f>'ΠΑ κλάδοι'!$A$22</c:f>
              <c:strCache>
                <c:ptCount val="1"/>
                <c:pt idx="0">
                  <c:v>Zakynthos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'ΠΑ κλάδοι'!$B$15:$L$15</c:f>
              <c:strCache>
                <c:ptCount val="11"/>
                <c:pt idx="0">
                  <c:v>agriculture</c:v>
                </c:pt>
                <c:pt idx="1">
                  <c:v>manufacture</c:v>
                </c:pt>
                <c:pt idx="2">
                  <c:v>secondary sector</c:v>
                </c:pt>
                <c:pt idx="3">
                  <c:v>construction</c:v>
                </c:pt>
                <c:pt idx="4">
                  <c:v>trade, transport, tourism</c:v>
                </c:pt>
                <c:pt idx="5">
                  <c:v>Information and communication</c:v>
                </c:pt>
                <c:pt idx="6">
                  <c:v>Financial and insurance activities</c:v>
                </c:pt>
                <c:pt idx="7">
                  <c:v>Real estate activities</c:v>
                </c:pt>
                <c:pt idx="8">
                  <c:v>Professional, scientific and technical activities, administrative and support service activities</c:v>
                </c:pt>
                <c:pt idx="9">
                  <c:v>Public administration and defence, compulsory social security, education, human health and social work activities</c:v>
                </c:pt>
                <c:pt idx="10">
                  <c:v>Arts, entertainment, recreation, other service activities, activities of households as employers, </c:v>
                </c:pt>
              </c:strCache>
            </c:strRef>
          </c:cat>
          <c:val>
            <c:numRef>
              <c:f>'ΠΑ κλάδοι'!$B$22:$L$22</c:f>
              <c:numCache>
                <c:formatCode>0.0</c:formatCode>
                <c:ptCount val="11"/>
                <c:pt idx="0">
                  <c:v>2.4224254649499284</c:v>
                </c:pt>
                <c:pt idx="1">
                  <c:v>3.7274806866952788</c:v>
                </c:pt>
                <c:pt idx="2">
                  <c:v>5.0855722460658077</c:v>
                </c:pt>
                <c:pt idx="3">
                  <c:v>2.5413058655221747</c:v>
                </c:pt>
                <c:pt idx="4">
                  <c:v>55.245467954220317</c:v>
                </c:pt>
                <c:pt idx="5">
                  <c:v>0.71884735336194572</c:v>
                </c:pt>
                <c:pt idx="6">
                  <c:v>1.7805293276108727</c:v>
                </c:pt>
                <c:pt idx="7">
                  <c:v>13.839470815450644</c:v>
                </c:pt>
                <c:pt idx="8">
                  <c:v>3.6407263233190275</c:v>
                </c:pt>
                <c:pt idx="9">
                  <c:v>10.971995135908442</c:v>
                </c:pt>
                <c:pt idx="10">
                  <c:v>3.7613094420600861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2B2-4885-A1DA-0C7360E14BC1}"/>
            </c:ext>
          </c:extLst>
        </c:ser>
        <c:ser>
          <c:idx val="7"/>
          <c:order val="7"/>
          <c:tx>
            <c:strRef>
              <c:f>'ΠΑ κλάδοι'!$A$23</c:f>
              <c:strCache>
                <c:ptCount val="1"/>
                <c:pt idx="0">
                  <c:v>Kerkyra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'ΠΑ κλάδοι'!$B$15:$L$15</c:f>
              <c:strCache>
                <c:ptCount val="11"/>
                <c:pt idx="0">
                  <c:v>agriculture</c:v>
                </c:pt>
                <c:pt idx="1">
                  <c:v>manufacture</c:v>
                </c:pt>
                <c:pt idx="2">
                  <c:v>secondary sector</c:v>
                </c:pt>
                <c:pt idx="3">
                  <c:v>construction</c:v>
                </c:pt>
                <c:pt idx="4">
                  <c:v>trade, transport, tourism</c:v>
                </c:pt>
                <c:pt idx="5">
                  <c:v>Information and communication</c:v>
                </c:pt>
                <c:pt idx="6">
                  <c:v>Financial and insurance activities</c:v>
                </c:pt>
                <c:pt idx="7">
                  <c:v>Real estate activities</c:v>
                </c:pt>
                <c:pt idx="8">
                  <c:v>Professional, scientific and technical activities, administrative and support service activities</c:v>
                </c:pt>
                <c:pt idx="9">
                  <c:v>Public administration and defence, compulsory social security, education, human health and social work activities</c:v>
                </c:pt>
                <c:pt idx="10">
                  <c:v>Arts, entertainment, recreation, other service activities, activities of households as employers, </c:v>
                </c:pt>
              </c:strCache>
            </c:strRef>
          </c:cat>
          <c:val>
            <c:numRef>
              <c:f>'ΠΑ κλάδοι'!$B$23:$L$23</c:f>
              <c:numCache>
                <c:formatCode>0.0</c:formatCode>
                <c:ptCount val="11"/>
                <c:pt idx="0">
                  <c:v>2.0291588692579503</c:v>
                </c:pt>
                <c:pt idx="1">
                  <c:v>2.2743588692579508</c:v>
                </c:pt>
                <c:pt idx="2">
                  <c:v>4.9766455830388692</c:v>
                </c:pt>
                <c:pt idx="3">
                  <c:v>1.6106520848056538</c:v>
                </c:pt>
                <c:pt idx="4">
                  <c:v>44.801911519434626</c:v>
                </c:pt>
                <c:pt idx="5">
                  <c:v>1.3109087632508833</c:v>
                </c:pt>
                <c:pt idx="6">
                  <c:v>2.0686117314487631</c:v>
                </c:pt>
                <c:pt idx="7">
                  <c:v>16.981693851590105</c:v>
                </c:pt>
                <c:pt idx="8">
                  <c:v>5.2385346289752652</c:v>
                </c:pt>
                <c:pt idx="9">
                  <c:v>16.557606077738516</c:v>
                </c:pt>
                <c:pt idx="10">
                  <c:v>4.450695477031803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2B2-4885-A1DA-0C7360E14BC1}"/>
            </c:ext>
          </c:extLst>
        </c:ser>
        <c:ser>
          <c:idx val="8"/>
          <c:order val="8"/>
          <c:tx>
            <c:strRef>
              <c:f>'ΠΑ κλάδοι'!$A$24</c:f>
              <c:strCache>
                <c:ptCount val="1"/>
                <c:pt idx="0">
                  <c:v>Ithaki, Kefallinia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'ΠΑ κλάδοι'!$B$15:$L$15</c:f>
              <c:strCache>
                <c:ptCount val="11"/>
                <c:pt idx="0">
                  <c:v>agriculture</c:v>
                </c:pt>
                <c:pt idx="1">
                  <c:v>manufacture</c:v>
                </c:pt>
                <c:pt idx="2">
                  <c:v>secondary sector</c:v>
                </c:pt>
                <c:pt idx="3">
                  <c:v>construction</c:v>
                </c:pt>
                <c:pt idx="4">
                  <c:v>trade, transport, tourism</c:v>
                </c:pt>
                <c:pt idx="5">
                  <c:v>Information and communication</c:v>
                </c:pt>
                <c:pt idx="6">
                  <c:v>Financial and insurance activities</c:v>
                </c:pt>
                <c:pt idx="7">
                  <c:v>Real estate activities</c:v>
                </c:pt>
                <c:pt idx="8">
                  <c:v>Professional, scientific and technical activities, administrative and support service activities</c:v>
                </c:pt>
                <c:pt idx="9">
                  <c:v>Public administration and defence, compulsory social security, education, human health and social work activities</c:v>
                </c:pt>
                <c:pt idx="10">
                  <c:v>Arts, entertainment, recreation, other service activities, activities of households as employers, </c:v>
                </c:pt>
              </c:strCache>
            </c:strRef>
          </c:cat>
          <c:val>
            <c:numRef>
              <c:f>'ΠΑ κλάδοι'!$B$24:$L$24</c:f>
              <c:numCache>
                <c:formatCode>0.0</c:formatCode>
                <c:ptCount val="11"/>
                <c:pt idx="0">
                  <c:v>13.163654529616725</c:v>
                </c:pt>
                <c:pt idx="1">
                  <c:v>1.8282952961672472</c:v>
                </c:pt>
                <c:pt idx="2">
                  <c:v>7.4770020905923342</c:v>
                </c:pt>
                <c:pt idx="3">
                  <c:v>2.3445733449477353</c:v>
                </c:pt>
                <c:pt idx="4">
                  <c:v>41.610313240418115</c:v>
                </c:pt>
                <c:pt idx="5">
                  <c:v>0.5862811846689896</c:v>
                </c:pt>
                <c:pt idx="6">
                  <c:v>2.0249282229965155</c:v>
                </c:pt>
                <c:pt idx="7">
                  <c:v>18.170161324041814</c:v>
                </c:pt>
                <c:pt idx="8">
                  <c:v>2.3844360627177701</c:v>
                </c:pt>
                <c:pt idx="9">
                  <c:v>10.745923344947736</c:v>
                </c:pt>
                <c:pt idx="10">
                  <c:v>1.4491665505226479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2B2-4885-A1DA-0C7360E14BC1}"/>
            </c:ext>
          </c:extLst>
        </c:ser>
        <c:ser>
          <c:idx val="9"/>
          <c:order val="9"/>
          <c:tx>
            <c:strRef>
              <c:f>'ΠΑ κλάδοι'!$A$25</c:f>
              <c:strCache>
                <c:ptCount val="1"/>
                <c:pt idx="0">
                  <c:v>Lefkada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'ΠΑ κλάδοι'!$B$15:$L$15</c:f>
              <c:strCache>
                <c:ptCount val="11"/>
                <c:pt idx="0">
                  <c:v>agriculture</c:v>
                </c:pt>
                <c:pt idx="1">
                  <c:v>manufacture</c:v>
                </c:pt>
                <c:pt idx="2">
                  <c:v>secondary sector</c:v>
                </c:pt>
                <c:pt idx="3">
                  <c:v>construction</c:v>
                </c:pt>
                <c:pt idx="4">
                  <c:v>trade, transport, tourism</c:v>
                </c:pt>
                <c:pt idx="5">
                  <c:v>Information and communication</c:v>
                </c:pt>
                <c:pt idx="6">
                  <c:v>Financial and insurance activities</c:v>
                </c:pt>
                <c:pt idx="7">
                  <c:v>Real estate activities</c:v>
                </c:pt>
                <c:pt idx="8">
                  <c:v>Professional, scientific and technical activities, administrative and support service activities</c:v>
                </c:pt>
                <c:pt idx="9">
                  <c:v>Public administration and defence, compulsory social security, education, human health and social work activities</c:v>
                </c:pt>
                <c:pt idx="10">
                  <c:v>Arts, entertainment, recreation, other service activities, activities of households as employers, </c:v>
                </c:pt>
              </c:strCache>
            </c:strRef>
          </c:cat>
          <c:val>
            <c:numRef>
              <c:f>'ΠΑ κλάδοι'!$B$25:$L$25</c:f>
              <c:numCache>
                <c:formatCode>0.0</c:formatCode>
                <c:ptCount val="11"/>
                <c:pt idx="0">
                  <c:v>1.8779301324503312</c:v>
                </c:pt>
                <c:pt idx="1">
                  <c:v>2.2916701986754968</c:v>
                </c:pt>
                <c:pt idx="2">
                  <c:v>2.857573178807947</c:v>
                </c:pt>
                <c:pt idx="3">
                  <c:v>6.5530980132450329</c:v>
                </c:pt>
                <c:pt idx="4">
                  <c:v>46.370164238410595</c:v>
                </c:pt>
                <c:pt idx="5">
                  <c:v>0.25007748344370861</c:v>
                </c:pt>
                <c:pt idx="6">
                  <c:v>2.4494129139072847</c:v>
                </c:pt>
                <c:pt idx="7">
                  <c:v>17.212361258278143</c:v>
                </c:pt>
                <c:pt idx="8">
                  <c:v>3.7727205298013247</c:v>
                </c:pt>
                <c:pt idx="9">
                  <c:v>14.330227483443709</c:v>
                </c:pt>
                <c:pt idx="10">
                  <c:v>4.2164443708609269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2B2-4885-A1DA-0C7360E14B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387590320"/>
        <c:axId val="1387603760"/>
      </c:barChart>
      <c:catAx>
        <c:axId val="13875903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387603760"/>
        <c:crosses val="autoZero"/>
        <c:auto val="1"/>
        <c:lblAlgn val="ctr"/>
        <c:lblOffset val="100"/>
        <c:noMultiLvlLbl val="0"/>
      </c:catAx>
      <c:valAx>
        <c:axId val="138760376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387590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'Μητρώο Επιχειρήσεων'!$B$69</c:f>
              <c:strCache>
                <c:ptCount val="1"/>
                <c:pt idx="0">
                  <c:v>turnover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'Μητρώο Επιχειρήσεων'!$A$5:$A$31</c:f>
              <c:strCache>
                <c:ptCount val="27"/>
                <c:pt idx="0">
                  <c:v>Attiki islands</c:v>
                </c:pt>
                <c:pt idx="1">
                  <c:v>Ikaria</c:v>
                </c:pt>
                <c:pt idx="2">
                  <c:v>Kalymnos</c:v>
                </c:pt>
                <c:pt idx="3">
                  <c:v>Syros</c:v>
                </c:pt>
                <c:pt idx="4">
                  <c:v>Ellada</c:v>
                </c:pt>
                <c:pt idx="5">
                  <c:v>Andros</c:v>
                </c:pt>
                <c:pt idx="6">
                  <c:v>Leykada</c:v>
                </c:pt>
                <c:pt idx="7">
                  <c:v>Lesvos</c:v>
                </c:pt>
                <c:pt idx="8">
                  <c:v>Samos</c:v>
                </c:pt>
                <c:pt idx="9">
                  <c:v>Ithaki</c:v>
                </c:pt>
                <c:pt idx="10">
                  <c:v>Chios</c:v>
                </c:pt>
                <c:pt idx="11">
                  <c:v>Limnos</c:v>
                </c:pt>
                <c:pt idx="12">
                  <c:v>Paros</c:v>
                </c:pt>
                <c:pt idx="13">
                  <c:v>Tinos</c:v>
                </c:pt>
                <c:pt idx="14">
                  <c:v>Kerkyra</c:v>
                </c:pt>
                <c:pt idx="15">
                  <c:v>Naxos</c:v>
                </c:pt>
                <c:pt idx="16">
                  <c:v>Kea-Kythnos</c:v>
                </c:pt>
                <c:pt idx="17">
                  <c:v>Milos</c:v>
                </c:pt>
                <c:pt idx="18">
                  <c:v>Kefallinia</c:v>
                </c:pt>
                <c:pt idx="19">
                  <c:v>Zakynthos</c:v>
                </c:pt>
                <c:pt idx="20">
                  <c:v>Karpathos</c:v>
                </c:pt>
                <c:pt idx="21">
                  <c:v>Thassos</c:v>
                </c:pt>
                <c:pt idx="22">
                  <c:v>Rodos</c:v>
                </c:pt>
                <c:pt idx="23">
                  <c:v>Sporades</c:v>
                </c:pt>
                <c:pt idx="24">
                  <c:v>Mykonos</c:v>
                </c:pt>
                <c:pt idx="25">
                  <c:v>Thira</c:v>
                </c:pt>
                <c:pt idx="26">
                  <c:v>Kos</c:v>
                </c:pt>
              </c:strCache>
            </c:strRef>
          </c:cat>
          <c:val>
            <c:numRef>
              <c:f>'Μητρώο Επιχειρήσεων'!$B$70:$B$96</c:f>
              <c:numCache>
                <c:formatCode>0.0</c:formatCode>
                <c:ptCount val="27"/>
                <c:pt idx="0">
                  <c:v>53.245709092180235</c:v>
                </c:pt>
                <c:pt idx="1">
                  <c:v>43.615643849336145</c:v>
                </c:pt>
                <c:pt idx="2">
                  <c:v>51.246651212688867</c:v>
                </c:pt>
                <c:pt idx="3">
                  <c:v>86.609681555370983</c:v>
                </c:pt>
                <c:pt idx="4">
                  <c:v>35.39199570599483</c:v>
                </c:pt>
                <c:pt idx="5">
                  <c:v>73.684652444158004</c:v>
                </c:pt>
                <c:pt idx="6">
                  <c:v>63.556881838647193</c:v>
                </c:pt>
                <c:pt idx="7">
                  <c:v>70.079565998696808</c:v>
                </c:pt>
                <c:pt idx="8">
                  <c:v>9.1039448599219135</c:v>
                </c:pt>
                <c:pt idx="9">
                  <c:v>67.160934710038049</c:v>
                </c:pt>
                <c:pt idx="10">
                  <c:v>-0.45738730630865049</c:v>
                </c:pt>
                <c:pt idx="11">
                  <c:v>3.5099842057761732</c:v>
                </c:pt>
                <c:pt idx="12">
                  <c:v>-5.1684313616793247</c:v>
                </c:pt>
                <c:pt idx="13">
                  <c:v>-9.6421816985774544</c:v>
                </c:pt>
                <c:pt idx="14">
                  <c:v>7.0066092608923993</c:v>
                </c:pt>
                <c:pt idx="15">
                  <c:v>182.59205071109744</c:v>
                </c:pt>
                <c:pt idx="16">
                  <c:v>25.893512886207802</c:v>
                </c:pt>
                <c:pt idx="17">
                  <c:v>54.63328539678389</c:v>
                </c:pt>
                <c:pt idx="18">
                  <c:v>58.835478604244983</c:v>
                </c:pt>
                <c:pt idx="19">
                  <c:v>43.308956941478229</c:v>
                </c:pt>
                <c:pt idx="20">
                  <c:v>86.960960849468151</c:v>
                </c:pt>
                <c:pt idx="21">
                  <c:v>183.38249445395266</c:v>
                </c:pt>
                <c:pt idx="22">
                  <c:v>117.35381597832428</c:v>
                </c:pt>
                <c:pt idx="23" formatCode="#,##0.0">
                  <c:v>113.73910656210843</c:v>
                </c:pt>
                <c:pt idx="24">
                  <c:v>32.211265839945305</c:v>
                </c:pt>
                <c:pt idx="25">
                  <c:v>34.744610970591566</c:v>
                </c:pt>
                <c:pt idx="26">
                  <c:v>39.475005627189489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37-4D40-B5F2-45DD071F119C}"/>
            </c:ext>
          </c:extLst>
        </c:ser>
        <c:ser>
          <c:idx val="1"/>
          <c:order val="1"/>
          <c:tx>
            <c:strRef>
              <c:f>'Μητρώο Επιχειρήσεων'!$C$69</c:f>
              <c:strCache>
                <c:ptCount val="1"/>
                <c:pt idx="0">
                  <c:v>employment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'Μητρώο Επιχειρήσεων'!$A$5:$A$31</c:f>
              <c:strCache>
                <c:ptCount val="27"/>
                <c:pt idx="0">
                  <c:v>Attiki islands</c:v>
                </c:pt>
                <c:pt idx="1">
                  <c:v>Ikaria</c:v>
                </c:pt>
                <c:pt idx="2">
                  <c:v>Kalymnos</c:v>
                </c:pt>
                <c:pt idx="3">
                  <c:v>Syros</c:v>
                </c:pt>
                <c:pt idx="4">
                  <c:v>Ellada</c:v>
                </c:pt>
                <c:pt idx="5">
                  <c:v>Andros</c:v>
                </c:pt>
                <c:pt idx="6">
                  <c:v>Leykada</c:v>
                </c:pt>
                <c:pt idx="7">
                  <c:v>Lesvos</c:v>
                </c:pt>
                <c:pt idx="8">
                  <c:v>Samos</c:v>
                </c:pt>
                <c:pt idx="9">
                  <c:v>Ithaki</c:v>
                </c:pt>
                <c:pt idx="10">
                  <c:v>Chios</c:v>
                </c:pt>
                <c:pt idx="11">
                  <c:v>Limnos</c:v>
                </c:pt>
                <c:pt idx="12">
                  <c:v>Paros</c:v>
                </c:pt>
                <c:pt idx="13">
                  <c:v>Tinos</c:v>
                </c:pt>
                <c:pt idx="14">
                  <c:v>Kerkyra</c:v>
                </c:pt>
                <c:pt idx="15">
                  <c:v>Naxos</c:v>
                </c:pt>
                <c:pt idx="16">
                  <c:v>Kea-Kythnos</c:v>
                </c:pt>
                <c:pt idx="17">
                  <c:v>Milos</c:v>
                </c:pt>
                <c:pt idx="18">
                  <c:v>Kefallinia</c:v>
                </c:pt>
                <c:pt idx="19">
                  <c:v>Zakynthos</c:v>
                </c:pt>
                <c:pt idx="20">
                  <c:v>Karpathos</c:v>
                </c:pt>
                <c:pt idx="21">
                  <c:v>Thassos</c:v>
                </c:pt>
                <c:pt idx="22">
                  <c:v>Rodos</c:v>
                </c:pt>
                <c:pt idx="23">
                  <c:v>Sporades</c:v>
                </c:pt>
                <c:pt idx="24">
                  <c:v>Mykonos</c:v>
                </c:pt>
                <c:pt idx="25">
                  <c:v>Thira</c:v>
                </c:pt>
                <c:pt idx="26">
                  <c:v>Kos</c:v>
                </c:pt>
              </c:strCache>
            </c:strRef>
          </c:cat>
          <c:val>
            <c:numRef>
              <c:f>'Μητρώο Επιχειρήσεων'!$C$70:$C$96</c:f>
              <c:numCache>
                <c:formatCode>0.0</c:formatCode>
                <c:ptCount val="27"/>
                <c:pt idx="0" formatCode="0">
                  <c:v>49.591487744632339</c:v>
                </c:pt>
                <c:pt idx="1">
                  <c:v>38.952239299289374</c:v>
                </c:pt>
                <c:pt idx="2">
                  <c:v>52.537260987965219</c:v>
                </c:pt>
                <c:pt idx="3">
                  <c:v>77.036351995447106</c:v>
                </c:pt>
                <c:pt idx="4">
                  <c:v>27.493606138107417</c:v>
                </c:pt>
                <c:pt idx="5">
                  <c:v>62.516449033302969</c:v>
                </c:pt>
                <c:pt idx="6">
                  <c:v>83.241916859122398</c:v>
                </c:pt>
                <c:pt idx="7">
                  <c:v>36.776329122475175</c:v>
                </c:pt>
                <c:pt idx="8">
                  <c:v>42.983943916779737</c:v>
                </c:pt>
                <c:pt idx="9">
                  <c:v>3.9486434108527133</c:v>
                </c:pt>
                <c:pt idx="10">
                  <c:v>26.952509565608825</c:v>
                </c:pt>
                <c:pt idx="11">
                  <c:v>-4.097253489419181</c:v>
                </c:pt>
                <c:pt idx="12">
                  <c:v>9.5672631353817632</c:v>
                </c:pt>
                <c:pt idx="13">
                  <c:v>52.852769273587526</c:v>
                </c:pt>
                <c:pt idx="14">
                  <c:v>6.2944923192206819</c:v>
                </c:pt>
                <c:pt idx="15">
                  <c:v>155.22072936660268</c:v>
                </c:pt>
                <c:pt idx="16">
                  <c:v>11.75925925925926</c:v>
                </c:pt>
                <c:pt idx="17">
                  <c:v>10.499806276636962</c:v>
                </c:pt>
                <c:pt idx="18">
                  <c:v>64.612822647793507</c:v>
                </c:pt>
                <c:pt idx="19">
                  <c:v>62.00140504254157</c:v>
                </c:pt>
                <c:pt idx="20">
                  <c:v>65.080173072028501</c:v>
                </c:pt>
                <c:pt idx="21">
                  <c:v>186.03736479842675</c:v>
                </c:pt>
                <c:pt idx="22">
                  <c:v>64.279946164199202</c:v>
                </c:pt>
                <c:pt idx="23">
                  <c:v>92.508404033936287</c:v>
                </c:pt>
                <c:pt idx="24">
                  <c:v>36.889148776209176</c:v>
                </c:pt>
                <c:pt idx="25">
                  <c:v>9.5036661026508753</c:v>
                </c:pt>
                <c:pt idx="26">
                  <c:v>44.125635216281495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37-4D40-B5F2-45DD071F11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03271519"/>
        <c:axId val="503273919"/>
      </c:barChart>
      <c:catAx>
        <c:axId val="5032715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503273919"/>
        <c:crosses val="autoZero"/>
        <c:auto val="1"/>
        <c:lblAlgn val="ctr"/>
        <c:lblOffset val="100"/>
        <c:noMultiLvlLbl val="0"/>
      </c:catAx>
      <c:valAx>
        <c:axId val="5032739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50327151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'Μητρώο Επιχειρήσεων'!$B$4</c:f>
              <c:strCache>
                <c:ptCount val="1"/>
                <c:pt idx="0">
                  <c:v>agriculture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'Μητρώο Επιχειρήσεων'!$A$5:$A$31</c:f>
              <c:strCache>
                <c:ptCount val="27"/>
                <c:pt idx="0">
                  <c:v>Attiki islands</c:v>
                </c:pt>
                <c:pt idx="1">
                  <c:v>Ikaria</c:v>
                </c:pt>
                <c:pt idx="2">
                  <c:v>Kalymnos</c:v>
                </c:pt>
                <c:pt idx="3">
                  <c:v>Syros</c:v>
                </c:pt>
                <c:pt idx="4">
                  <c:v>Ellada</c:v>
                </c:pt>
                <c:pt idx="5">
                  <c:v>Andros</c:v>
                </c:pt>
                <c:pt idx="6">
                  <c:v>Leykada</c:v>
                </c:pt>
                <c:pt idx="7">
                  <c:v>Lesvos</c:v>
                </c:pt>
                <c:pt idx="8">
                  <c:v>Samos</c:v>
                </c:pt>
                <c:pt idx="9">
                  <c:v>Ithaki</c:v>
                </c:pt>
                <c:pt idx="10">
                  <c:v>Chios</c:v>
                </c:pt>
                <c:pt idx="11">
                  <c:v>Limnos</c:v>
                </c:pt>
                <c:pt idx="12">
                  <c:v>Paros</c:v>
                </c:pt>
                <c:pt idx="13">
                  <c:v>Tinos</c:v>
                </c:pt>
                <c:pt idx="14">
                  <c:v>Kerkyra</c:v>
                </c:pt>
                <c:pt idx="15">
                  <c:v>Naxos</c:v>
                </c:pt>
                <c:pt idx="16">
                  <c:v>Kea-Kythnos</c:v>
                </c:pt>
                <c:pt idx="17">
                  <c:v>Milos</c:v>
                </c:pt>
                <c:pt idx="18">
                  <c:v>Kefallinia</c:v>
                </c:pt>
                <c:pt idx="19">
                  <c:v>Zakynthos</c:v>
                </c:pt>
                <c:pt idx="20">
                  <c:v>Karpathos</c:v>
                </c:pt>
                <c:pt idx="21">
                  <c:v>Thassos</c:v>
                </c:pt>
                <c:pt idx="22">
                  <c:v>Rodos</c:v>
                </c:pt>
                <c:pt idx="23">
                  <c:v>Sporades</c:v>
                </c:pt>
                <c:pt idx="24">
                  <c:v>Mykonos</c:v>
                </c:pt>
                <c:pt idx="25">
                  <c:v>Thira</c:v>
                </c:pt>
                <c:pt idx="26">
                  <c:v>Kos</c:v>
                </c:pt>
              </c:strCache>
            </c:strRef>
          </c:cat>
          <c:val>
            <c:numRef>
              <c:f>'Μητρώο Επιχειρήσεων'!$B$5:$B$31</c:f>
              <c:numCache>
                <c:formatCode>General</c:formatCode>
                <c:ptCount val="27"/>
                <c:pt idx="0">
                  <c:v>2.2000000000000002</c:v>
                </c:pt>
                <c:pt idx="1">
                  <c:v>2.5</c:v>
                </c:pt>
                <c:pt idx="2">
                  <c:v>4.9000000000000004</c:v>
                </c:pt>
                <c:pt idx="3">
                  <c:v>1.1000000000000001</c:v>
                </c:pt>
                <c:pt idx="4">
                  <c:v>2.6</c:v>
                </c:pt>
                <c:pt idx="5">
                  <c:v>3.1</c:v>
                </c:pt>
                <c:pt idx="6">
                  <c:v>0.7</c:v>
                </c:pt>
                <c:pt idx="7">
                  <c:v>8</c:v>
                </c:pt>
                <c:pt idx="8">
                  <c:v>2.5</c:v>
                </c:pt>
                <c:pt idx="9">
                  <c:v>0.6</c:v>
                </c:pt>
                <c:pt idx="10">
                  <c:v>10.7</c:v>
                </c:pt>
                <c:pt idx="11">
                  <c:v>9.1</c:v>
                </c:pt>
                <c:pt idx="12">
                  <c:v>0.8</c:v>
                </c:pt>
                <c:pt idx="13">
                  <c:v>2.2999999999999998</c:v>
                </c:pt>
                <c:pt idx="14">
                  <c:v>1.2</c:v>
                </c:pt>
                <c:pt idx="15">
                  <c:v>4.2</c:v>
                </c:pt>
                <c:pt idx="16">
                  <c:v>3.7</c:v>
                </c:pt>
                <c:pt idx="17">
                  <c:v>1</c:v>
                </c:pt>
                <c:pt idx="18">
                  <c:v>10.6</c:v>
                </c:pt>
                <c:pt idx="19">
                  <c:v>1.9</c:v>
                </c:pt>
                <c:pt idx="20">
                  <c:v>0.7</c:v>
                </c:pt>
                <c:pt idx="21">
                  <c:v>2</c:v>
                </c:pt>
                <c:pt idx="22">
                  <c:v>6</c:v>
                </c:pt>
                <c:pt idx="23">
                  <c:v>1.1000000000000001</c:v>
                </c:pt>
                <c:pt idx="24">
                  <c:v>0.2</c:v>
                </c:pt>
                <c:pt idx="25">
                  <c:v>0.7</c:v>
                </c:pt>
                <c:pt idx="26">
                  <c:v>1.1000000000000001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99-4F94-8A0A-35C470D4997F}"/>
            </c:ext>
          </c:extLst>
        </c:ser>
        <c:ser>
          <c:idx val="1"/>
          <c:order val="1"/>
          <c:tx>
            <c:strRef>
              <c:f>'Μητρώο Επιχειρήσεων'!$C$4</c:f>
              <c:strCache>
                <c:ptCount val="1"/>
                <c:pt idx="0">
                  <c:v>manifacture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'Μητρώο Επιχειρήσεων'!$A$5:$A$31</c:f>
              <c:strCache>
                <c:ptCount val="27"/>
                <c:pt idx="0">
                  <c:v>Attiki islands</c:v>
                </c:pt>
                <c:pt idx="1">
                  <c:v>Ikaria</c:v>
                </c:pt>
                <c:pt idx="2">
                  <c:v>Kalymnos</c:v>
                </c:pt>
                <c:pt idx="3">
                  <c:v>Syros</c:v>
                </c:pt>
                <c:pt idx="4">
                  <c:v>Ellada</c:v>
                </c:pt>
                <c:pt idx="5">
                  <c:v>Andros</c:v>
                </c:pt>
                <c:pt idx="6">
                  <c:v>Leykada</c:v>
                </c:pt>
                <c:pt idx="7">
                  <c:v>Lesvos</c:v>
                </c:pt>
                <c:pt idx="8">
                  <c:v>Samos</c:v>
                </c:pt>
                <c:pt idx="9">
                  <c:v>Ithaki</c:v>
                </c:pt>
                <c:pt idx="10">
                  <c:v>Chios</c:v>
                </c:pt>
                <c:pt idx="11">
                  <c:v>Limnos</c:v>
                </c:pt>
                <c:pt idx="12">
                  <c:v>Paros</c:v>
                </c:pt>
                <c:pt idx="13">
                  <c:v>Tinos</c:v>
                </c:pt>
                <c:pt idx="14">
                  <c:v>Kerkyra</c:v>
                </c:pt>
                <c:pt idx="15">
                  <c:v>Naxos</c:v>
                </c:pt>
                <c:pt idx="16">
                  <c:v>Kea-Kythnos</c:v>
                </c:pt>
                <c:pt idx="17">
                  <c:v>Milos</c:v>
                </c:pt>
                <c:pt idx="18">
                  <c:v>Kefallinia</c:v>
                </c:pt>
                <c:pt idx="19">
                  <c:v>Zakynthos</c:v>
                </c:pt>
                <c:pt idx="20">
                  <c:v>Karpathos</c:v>
                </c:pt>
                <c:pt idx="21">
                  <c:v>Thassos</c:v>
                </c:pt>
                <c:pt idx="22">
                  <c:v>Rodos</c:v>
                </c:pt>
                <c:pt idx="23">
                  <c:v>Sporades</c:v>
                </c:pt>
                <c:pt idx="24">
                  <c:v>Mykonos</c:v>
                </c:pt>
                <c:pt idx="25">
                  <c:v>Thira</c:v>
                </c:pt>
                <c:pt idx="26">
                  <c:v>Kos</c:v>
                </c:pt>
              </c:strCache>
            </c:strRef>
          </c:cat>
          <c:val>
            <c:numRef>
              <c:f>'Μητρώο Επιχειρήσεων'!$C$5:$C$31</c:f>
              <c:numCache>
                <c:formatCode>General</c:formatCode>
                <c:ptCount val="27"/>
                <c:pt idx="0">
                  <c:v>4.4000000000000004</c:v>
                </c:pt>
                <c:pt idx="1">
                  <c:v>4.5</c:v>
                </c:pt>
                <c:pt idx="2">
                  <c:v>3.6</c:v>
                </c:pt>
                <c:pt idx="3">
                  <c:v>8.8000000000000007</c:v>
                </c:pt>
                <c:pt idx="4">
                  <c:v>21.1</c:v>
                </c:pt>
                <c:pt idx="5">
                  <c:v>5.5</c:v>
                </c:pt>
                <c:pt idx="6">
                  <c:v>6.8</c:v>
                </c:pt>
                <c:pt idx="7">
                  <c:v>14.9</c:v>
                </c:pt>
                <c:pt idx="8">
                  <c:v>7.7</c:v>
                </c:pt>
                <c:pt idx="9">
                  <c:v>6.7</c:v>
                </c:pt>
                <c:pt idx="10">
                  <c:v>13.2</c:v>
                </c:pt>
                <c:pt idx="11">
                  <c:v>12.7</c:v>
                </c:pt>
                <c:pt idx="12">
                  <c:v>5.5</c:v>
                </c:pt>
                <c:pt idx="13">
                  <c:v>8.5</c:v>
                </c:pt>
                <c:pt idx="14">
                  <c:v>4.2</c:v>
                </c:pt>
                <c:pt idx="15">
                  <c:v>7.2</c:v>
                </c:pt>
                <c:pt idx="16">
                  <c:v>7</c:v>
                </c:pt>
                <c:pt idx="17">
                  <c:v>3.3</c:v>
                </c:pt>
                <c:pt idx="18">
                  <c:v>5.5</c:v>
                </c:pt>
                <c:pt idx="19">
                  <c:v>3.1</c:v>
                </c:pt>
                <c:pt idx="20">
                  <c:v>2.9</c:v>
                </c:pt>
                <c:pt idx="21">
                  <c:v>8.6999999999999993</c:v>
                </c:pt>
                <c:pt idx="22">
                  <c:v>4.5</c:v>
                </c:pt>
                <c:pt idx="23">
                  <c:v>3.3</c:v>
                </c:pt>
                <c:pt idx="24">
                  <c:v>1.5</c:v>
                </c:pt>
                <c:pt idx="25">
                  <c:v>3.5</c:v>
                </c:pt>
                <c:pt idx="26">
                  <c:v>3.1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99-4F94-8A0A-35C470D4997F}"/>
            </c:ext>
          </c:extLst>
        </c:ser>
        <c:ser>
          <c:idx val="2"/>
          <c:order val="2"/>
          <c:tx>
            <c:strRef>
              <c:f>'Μητρώο Επιχειρήσεων'!$D$4</c:f>
              <c:strCache>
                <c:ptCount val="1"/>
                <c:pt idx="0">
                  <c:v>hotels &amp; restaurants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'Μητρώο Επιχειρήσεων'!$A$5:$A$31</c:f>
              <c:strCache>
                <c:ptCount val="27"/>
                <c:pt idx="0">
                  <c:v>Attiki islands</c:v>
                </c:pt>
                <c:pt idx="1">
                  <c:v>Ikaria</c:v>
                </c:pt>
                <c:pt idx="2">
                  <c:v>Kalymnos</c:v>
                </c:pt>
                <c:pt idx="3">
                  <c:v>Syros</c:v>
                </c:pt>
                <c:pt idx="4">
                  <c:v>Ellada</c:v>
                </c:pt>
                <c:pt idx="5">
                  <c:v>Andros</c:v>
                </c:pt>
                <c:pt idx="6">
                  <c:v>Leykada</c:v>
                </c:pt>
                <c:pt idx="7">
                  <c:v>Lesvos</c:v>
                </c:pt>
                <c:pt idx="8">
                  <c:v>Samos</c:v>
                </c:pt>
                <c:pt idx="9">
                  <c:v>Ithaki</c:v>
                </c:pt>
                <c:pt idx="10">
                  <c:v>Chios</c:v>
                </c:pt>
                <c:pt idx="11">
                  <c:v>Limnos</c:v>
                </c:pt>
                <c:pt idx="12">
                  <c:v>Paros</c:v>
                </c:pt>
                <c:pt idx="13">
                  <c:v>Tinos</c:v>
                </c:pt>
                <c:pt idx="14">
                  <c:v>Kerkyra</c:v>
                </c:pt>
                <c:pt idx="15">
                  <c:v>Naxos</c:v>
                </c:pt>
                <c:pt idx="16">
                  <c:v>Kea-Kythnos</c:v>
                </c:pt>
                <c:pt idx="17">
                  <c:v>Milos</c:v>
                </c:pt>
                <c:pt idx="18">
                  <c:v>Kefallinia</c:v>
                </c:pt>
                <c:pt idx="19">
                  <c:v>Zakynthos</c:v>
                </c:pt>
                <c:pt idx="20">
                  <c:v>Karpathos</c:v>
                </c:pt>
                <c:pt idx="21">
                  <c:v>Thassos</c:v>
                </c:pt>
                <c:pt idx="22">
                  <c:v>Rodos</c:v>
                </c:pt>
                <c:pt idx="23">
                  <c:v>Sporades</c:v>
                </c:pt>
                <c:pt idx="24">
                  <c:v>Mykonos</c:v>
                </c:pt>
                <c:pt idx="25">
                  <c:v>Thira</c:v>
                </c:pt>
                <c:pt idx="26">
                  <c:v>Kos</c:v>
                </c:pt>
              </c:strCache>
            </c:strRef>
          </c:cat>
          <c:val>
            <c:numRef>
              <c:f>'Μητρώο Επιχειρήσεων'!$D$5:$D$31</c:f>
              <c:numCache>
                <c:formatCode>General</c:formatCode>
                <c:ptCount val="27"/>
                <c:pt idx="0">
                  <c:v>10.3</c:v>
                </c:pt>
                <c:pt idx="1">
                  <c:v>13</c:v>
                </c:pt>
                <c:pt idx="2">
                  <c:v>11.7</c:v>
                </c:pt>
                <c:pt idx="3">
                  <c:v>17.399999999999999</c:v>
                </c:pt>
                <c:pt idx="4">
                  <c:v>4.2</c:v>
                </c:pt>
                <c:pt idx="5">
                  <c:v>20.399999999999999</c:v>
                </c:pt>
                <c:pt idx="6">
                  <c:v>22.4</c:v>
                </c:pt>
                <c:pt idx="7">
                  <c:v>7.3</c:v>
                </c:pt>
                <c:pt idx="8">
                  <c:v>20.2</c:v>
                </c:pt>
                <c:pt idx="9">
                  <c:v>24.5</c:v>
                </c:pt>
                <c:pt idx="10">
                  <c:v>8.1</c:v>
                </c:pt>
                <c:pt idx="11">
                  <c:v>11.2</c:v>
                </c:pt>
                <c:pt idx="12">
                  <c:v>27.7</c:v>
                </c:pt>
                <c:pt idx="13">
                  <c:v>23.2</c:v>
                </c:pt>
                <c:pt idx="14">
                  <c:v>28.7</c:v>
                </c:pt>
                <c:pt idx="15">
                  <c:v>23.6</c:v>
                </c:pt>
                <c:pt idx="16">
                  <c:v>24.8</c:v>
                </c:pt>
                <c:pt idx="17">
                  <c:v>32.299999999999997</c:v>
                </c:pt>
                <c:pt idx="18">
                  <c:v>21.3</c:v>
                </c:pt>
                <c:pt idx="19">
                  <c:v>32.6</c:v>
                </c:pt>
                <c:pt idx="20">
                  <c:v>34.799999999999997</c:v>
                </c:pt>
                <c:pt idx="21">
                  <c:v>32.799999999999997</c:v>
                </c:pt>
                <c:pt idx="22">
                  <c:v>33.9</c:v>
                </c:pt>
                <c:pt idx="23">
                  <c:v>42.9</c:v>
                </c:pt>
                <c:pt idx="24">
                  <c:v>46.9</c:v>
                </c:pt>
                <c:pt idx="25">
                  <c:v>44.5</c:v>
                </c:pt>
                <c:pt idx="26">
                  <c:v>45.3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C99-4F94-8A0A-35C470D4997F}"/>
            </c:ext>
          </c:extLst>
        </c:ser>
        <c:ser>
          <c:idx val="3"/>
          <c:order val="3"/>
          <c:tx>
            <c:strRef>
              <c:f>'Μητρώο Επιχειρήσεων'!$E$4</c:f>
              <c:strCache>
                <c:ptCount val="1"/>
                <c:pt idx="0">
                  <c:v>trade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'Μητρώο Επιχειρήσεων'!$A$5:$A$31</c:f>
              <c:strCache>
                <c:ptCount val="27"/>
                <c:pt idx="0">
                  <c:v>Attiki islands</c:v>
                </c:pt>
                <c:pt idx="1">
                  <c:v>Ikaria</c:v>
                </c:pt>
                <c:pt idx="2">
                  <c:v>Kalymnos</c:v>
                </c:pt>
                <c:pt idx="3">
                  <c:v>Syros</c:v>
                </c:pt>
                <c:pt idx="4">
                  <c:v>Ellada</c:v>
                </c:pt>
                <c:pt idx="5">
                  <c:v>Andros</c:v>
                </c:pt>
                <c:pt idx="6">
                  <c:v>Leykada</c:v>
                </c:pt>
                <c:pt idx="7">
                  <c:v>Lesvos</c:v>
                </c:pt>
                <c:pt idx="8">
                  <c:v>Samos</c:v>
                </c:pt>
                <c:pt idx="9">
                  <c:v>Ithaki</c:v>
                </c:pt>
                <c:pt idx="10">
                  <c:v>Chios</c:v>
                </c:pt>
                <c:pt idx="11">
                  <c:v>Limnos</c:v>
                </c:pt>
                <c:pt idx="12">
                  <c:v>Paros</c:v>
                </c:pt>
                <c:pt idx="13">
                  <c:v>Tinos</c:v>
                </c:pt>
                <c:pt idx="14">
                  <c:v>Kerkyra</c:v>
                </c:pt>
                <c:pt idx="15">
                  <c:v>Naxos</c:v>
                </c:pt>
                <c:pt idx="16">
                  <c:v>Kea-Kythnos</c:v>
                </c:pt>
                <c:pt idx="17">
                  <c:v>Milos</c:v>
                </c:pt>
                <c:pt idx="18">
                  <c:v>Kefallinia</c:v>
                </c:pt>
                <c:pt idx="19">
                  <c:v>Zakynthos</c:v>
                </c:pt>
                <c:pt idx="20">
                  <c:v>Karpathos</c:v>
                </c:pt>
                <c:pt idx="21">
                  <c:v>Thassos</c:v>
                </c:pt>
                <c:pt idx="22">
                  <c:v>Rodos</c:v>
                </c:pt>
                <c:pt idx="23">
                  <c:v>Sporades</c:v>
                </c:pt>
                <c:pt idx="24">
                  <c:v>Mykonos</c:v>
                </c:pt>
                <c:pt idx="25">
                  <c:v>Thira</c:v>
                </c:pt>
                <c:pt idx="26">
                  <c:v>Kos</c:v>
                </c:pt>
              </c:strCache>
            </c:strRef>
          </c:cat>
          <c:val>
            <c:numRef>
              <c:f>'Μητρώο Επιχειρήσεων'!$E$5:$E$31</c:f>
              <c:numCache>
                <c:formatCode>General</c:formatCode>
                <c:ptCount val="27"/>
                <c:pt idx="0">
                  <c:v>63.8</c:v>
                </c:pt>
                <c:pt idx="1">
                  <c:v>66.099999999999994</c:v>
                </c:pt>
                <c:pt idx="2">
                  <c:v>65</c:v>
                </c:pt>
                <c:pt idx="3">
                  <c:v>49.1</c:v>
                </c:pt>
                <c:pt idx="4">
                  <c:v>37.4</c:v>
                </c:pt>
                <c:pt idx="5">
                  <c:v>48.9</c:v>
                </c:pt>
                <c:pt idx="6">
                  <c:v>40.6</c:v>
                </c:pt>
                <c:pt idx="7">
                  <c:v>51.5</c:v>
                </c:pt>
                <c:pt idx="8">
                  <c:v>49.5</c:v>
                </c:pt>
                <c:pt idx="9">
                  <c:v>52.6</c:v>
                </c:pt>
                <c:pt idx="10">
                  <c:v>48</c:v>
                </c:pt>
                <c:pt idx="11">
                  <c:v>48.8</c:v>
                </c:pt>
                <c:pt idx="12">
                  <c:v>40.799999999999997</c:v>
                </c:pt>
                <c:pt idx="13">
                  <c:v>43.7</c:v>
                </c:pt>
                <c:pt idx="14">
                  <c:v>43.3</c:v>
                </c:pt>
                <c:pt idx="15">
                  <c:v>36.299999999999997</c:v>
                </c:pt>
                <c:pt idx="16">
                  <c:v>43.6</c:v>
                </c:pt>
                <c:pt idx="17">
                  <c:v>36.6</c:v>
                </c:pt>
                <c:pt idx="18">
                  <c:v>40.9</c:v>
                </c:pt>
                <c:pt idx="19">
                  <c:v>39.1</c:v>
                </c:pt>
                <c:pt idx="20">
                  <c:v>40.6</c:v>
                </c:pt>
                <c:pt idx="21">
                  <c:v>37.5</c:v>
                </c:pt>
                <c:pt idx="22">
                  <c:v>39.799999999999997</c:v>
                </c:pt>
                <c:pt idx="23">
                  <c:v>34.9</c:v>
                </c:pt>
                <c:pt idx="24">
                  <c:v>32.299999999999997</c:v>
                </c:pt>
                <c:pt idx="25">
                  <c:v>32</c:v>
                </c:pt>
                <c:pt idx="26">
                  <c:v>36.799999999999997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C99-4F94-8A0A-35C470D499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8621375"/>
        <c:axId val="118622815"/>
      </c:barChart>
      <c:catAx>
        <c:axId val="11862137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18622815"/>
        <c:crosses val="autoZero"/>
        <c:auto val="1"/>
        <c:lblAlgn val="ctr"/>
        <c:lblOffset val="100"/>
        <c:noMultiLvlLbl val="0"/>
      </c:catAx>
      <c:valAx>
        <c:axId val="11862281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1862137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'Μητρώο Επιχειρήσεων'!$B$37</c:f>
              <c:strCache>
                <c:ptCount val="1"/>
                <c:pt idx="0">
                  <c:v>agriculture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'Μητρώο Επιχειρήσεων'!$A$38:$A$64</c:f>
              <c:strCache>
                <c:ptCount val="27"/>
                <c:pt idx="0">
                  <c:v>Syros</c:v>
                </c:pt>
                <c:pt idx="1">
                  <c:v>Ellada</c:v>
                </c:pt>
                <c:pt idx="2">
                  <c:v>Chios</c:v>
                </c:pt>
                <c:pt idx="3">
                  <c:v>Lesvos</c:v>
                </c:pt>
                <c:pt idx="4">
                  <c:v>Kalymnos</c:v>
                </c:pt>
                <c:pt idx="5">
                  <c:v>Attiki islands</c:v>
                </c:pt>
                <c:pt idx="6">
                  <c:v>Ikaria</c:v>
                </c:pt>
                <c:pt idx="7">
                  <c:v>Limnos</c:v>
                </c:pt>
                <c:pt idx="8">
                  <c:v>Samos</c:v>
                </c:pt>
                <c:pt idx="9">
                  <c:v>Andros</c:v>
                </c:pt>
                <c:pt idx="10">
                  <c:v>Kefallinia</c:v>
                </c:pt>
                <c:pt idx="11">
                  <c:v>Kerkyra</c:v>
                </c:pt>
                <c:pt idx="12">
                  <c:v>Leykada</c:v>
                </c:pt>
                <c:pt idx="13">
                  <c:v>Rodos</c:v>
                </c:pt>
                <c:pt idx="14">
                  <c:v>Ithaki</c:v>
                </c:pt>
                <c:pt idx="15">
                  <c:v>Naxos</c:v>
                </c:pt>
                <c:pt idx="16">
                  <c:v>Tinos</c:v>
                </c:pt>
                <c:pt idx="17">
                  <c:v>Karpathos</c:v>
                </c:pt>
                <c:pt idx="18">
                  <c:v>Zakynthos</c:v>
                </c:pt>
                <c:pt idx="19">
                  <c:v>Paros</c:v>
                </c:pt>
                <c:pt idx="20">
                  <c:v>Milos</c:v>
                </c:pt>
                <c:pt idx="21">
                  <c:v>Kea-Kythnos</c:v>
                </c:pt>
                <c:pt idx="22">
                  <c:v>Kos</c:v>
                </c:pt>
                <c:pt idx="23">
                  <c:v>Mykonos</c:v>
                </c:pt>
                <c:pt idx="24">
                  <c:v>Thira</c:v>
                </c:pt>
                <c:pt idx="25">
                  <c:v>Thassos</c:v>
                </c:pt>
                <c:pt idx="26">
                  <c:v>Sporades</c:v>
                </c:pt>
              </c:strCache>
            </c:strRef>
          </c:cat>
          <c:val>
            <c:numRef>
              <c:f>'Μητρώο Επιχειρήσεων'!$B$38:$B$64</c:f>
              <c:numCache>
                <c:formatCode>General</c:formatCode>
                <c:ptCount val="27"/>
                <c:pt idx="0">
                  <c:v>0.9</c:v>
                </c:pt>
                <c:pt idx="1">
                  <c:v>6.3</c:v>
                </c:pt>
                <c:pt idx="2">
                  <c:v>12.3</c:v>
                </c:pt>
                <c:pt idx="3">
                  <c:v>13.5</c:v>
                </c:pt>
                <c:pt idx="4">
                  <c:v>9.4</c:v>
                </c:pt>
                <c:pt idx="5">
                  <c:v>7.2</c:v>
                </c:pt>
                <c:pt idx="6">
                  <c:v>5.4</c:v>
                </c:pt>
                <c:pt idx="7">
                  <c:v>13.1</c:v>
                </c:pt>
                <c:pt idx="8">
                  <c:v>10.4</c:v>
                </c:pt>
                <c:pt idx="9">
                  <c:v>4.0999999999999996</c:v>
                </c:pt>
                <c:pt idx="10">
                  <c:v>5.7</c:v>
                </c:pt>
                <c:pt idx="11">
                  <c:v>2.9</c:v>
                </c:pt>
                <c:pt idx="12">
                  <c:v>1.6</c:v>
                </c:pt>
                <c:pt idx="13">
                  <c:v>0.9</c:v>
                </c:pt>
                <c:pt idx="14">
                  <c:v>4</c:v>
                </c:pt>
                <c:pt idx="15">
                  <c:v>3.7</c:v>
                </c:pt>
                <c:pt idx="16">
                  <c:v>1.5</c:v>
                </c:pt>
                <c:pt idx="17">
                  <c:v>3.2</c:v>
                </c:pt>
                <c:pt idx="18">
                  <c:v>6.5</c:v>
                </c:pt>
                <c:pt idx="19">
                  <c:v>2.1</c:v>
                </c:pt>
                <c:pt idx="20">
                  <c:v>1.6</c:v>
                </c:pt>
                <c:pt idx="21">
                  <c:v>8.5</c:v>
                </c:pt>
                <c:pt idx="22">
                  <c:v>1.6</c:v>
                </c:pt>
                <c:pt idx="23">
                  <c:v>0.2</c:v>
                </c:pt>
                <c:pt idx="24">
                  <c:v>1.7</c:v>
                </c:pt>
                <c:pt idx="25">
                  <c:v>4.4000000000000004</c:v>
                </c:pt>
                <c:pt idx="26">
                  <c:v>1.8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6B5-43BC-BC7D-E731FE9F9A0B}"/>
            </c:ext>
          </c:extLst>
        </c:ser>
        <c:ser>
          <c:idx val="1"/>
          <c:order val="1"/>
          <c:tx>
            <c:strRef>
              <c:f>'Μητρώο Επιχειρήσεων'!$C$37</c:f>
              <c:strCache>
                <c:ptCount val="1"/>
                <c:pt idx="0">
                  <c:v>manifacture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'Μητρώο Επιχειρήσεων'!$A$38:$A$64</c:f>
              <c:strCache>
                <c:ptCount val="27"/>
                <c:pt idx="0">
                  <c:v>Syros</c:v>
                </c:pt>
                <c:pt idx="1">
                  <c:v>Ellada</c:v>
                </c:pt>
                <c:pt idx="2">
                  <c:v>Chios</c:v>
                </c:pt>
                <c:pt idx="3">
                  <c:v>Lesvos</c:v>
                </c:pt>
                <c:pt idx="4">
                  <c:v>Kalymnos</c:v>
                </c:pt>
                <c:pt idx="5">
                  <c:v>Attiki islands</c:v>
                </c:pt>
                <c:pt idx="6">
                  <c:v>Ikaria</c:v>
                </c:pt>
                <c:pt idx="7">
                  <c:v>Limnos</c:v>
                </c:pt>
                <c:pt idx="8">
                  <c:v>Samos</c:v>
                </c:pt>
                <c:pt idx="9">
                  <c:v>Andros</c:v>
                </c:pt>
                <c:pt idx="10">
                  <c:v>Kefallinia</c:v>
                </c:pt>
                <c:pt idx="11">
                  <c:v>Kerkyra</c:v>
                </c:pt>
                <c:pt idx="12">
                  <c:v>Leykada</c:v>
                </c:pt>
                <c:pt idx="13">
                  <c:v>Rodos</c:v>
                </c:pt>
                <c:pt idx="14">
                  <c:v>Ithaki</c:v>
                </c:pt>
                <c:pt idx="15">
                  <c:v>Naxos</c:v>
                </c:pt>
                <c:pt idx="16">
                  <c:v>Tinos</c:v>
                </c:pt>
                <c:pt idx="17">
                  <c:v>Karpathos</c:v>
                </c:pt>
                <c:pt idx="18">
                  <c:v>Zakynthos</c:v>
                </c:pt>
                <c:pt idx="19">
                  <c:v>Paros</c:v>
                </c:pt>
                <c:pt idx="20">
                  <c:v>Milos</c:v>
                </c:pt>
                <c:pt idx="21">
                  <c:v>Kea-Kythnos</c:v>
                </c:pt>
                <c:pt idx="22">
                  <c:v>Kos</c:v>
                </c:pt>
                <c:pt idx="23">
                  <c:v>Mykonos</c:v>
                </c:pt>
                <c:pt idx="24">
                  <c:v>Thira</c:v>
                </c:pt>
                <c:pt idx="25">
                  <c:v>Thassos</c:v>
                </c:pt>
                <c:pt idx="26">
                  <c:v>Sporades</c:v>
                </c:pt>
              </c:strCache>
            </c:strRef>
          </c:cat>
          <c:val>
            <c:numRef>
              <c:f>'Μητρώο Επιχειρήσεων'!$C$38:$C$64</c:f>
              <c:numCache>
                <c:formatCode>General</c:formatCode>
                <c:ptCount val="27"/>
                <c:pt idx="0">
                  <c:v>4.0999999999999996</c:v>
                </c:pt>
                <c:pt idx="1">
                  <c:v>8.3000000000000007</c:v>
                </c:pt>
                <c:pt idx="2">
                  <c:v>5.4</c:v>
                </c:pt>
                <c:pt idx="3">
                  <c:v>5</c:v>
                </c:pt>
                <c:pt idx="4">
                  <c:v>4</c:v>
                </c:pt>
                <c:pt idx="5">
                  <c:v>5</c:v>
                </c:pt>
                <c:pt idx="6">
                  <c:v>5.5</c:v>
                </c:pt>
                <c:pt idx="7">
                  <c:v>6.6</c:v>
                </c:pt>
                <c:pt idx="8">
                  <c:v>3.9</c:v>
                </c:pt>
                <c:pt idx="9">
                  <c:v>5.3</c:v>
                </c:pt>
                <c:pt idx="10">
                  <c:v>3.4</c:v>
                </c:pt>
                <c:pt idx="11">
                  <c:v>3.2</c:v>
                </c:pt>
                <c:pt idx="12">
                  <c:v>4.5999999999999996</c:v>
                </c:pt>
                <c:pt idx="13">
                  <c:v>2.9</c:v>
                </c:pt>
                <c:pt idx="14">
                  <c:v>3.6</c:v>
                </c:pt>
                <c:pt idx="15">
                  <c:v>3.8</c:v>
                </c:pt>
                <c:pt idx="16">
                  <c:v>6.5</c:v>
                </c:pt>
                <c:pt idx="17">
                  <c:v>2.2999999999999998</c:v>
                </c:pt>
                <c:pt idx="18">
                  <c:v>2.2999999999999998</c:v>
                </c:pt>
                <c:pt idx="19">
                  <c:v>4.0999999999999996</c:v>
                </c:pt>
                <c:pt idx="20">
                  <c:v>3.2</c:v>
                </c:pt>
                <c:pt idx="21">
                  <c:v>3.6</c:v>
                </c:pt>
                <c:pt idx="22">
                  <c:v>2.6</c:v>
                </c:pt>
                <c:pt idx="23">
                  <c:v>1.3</c:v>
                </c:pt>
                <c:pt idx="24">
                  <c:v>2.7</c:v>
                </c:pt>
                <c:pt idx="25">
                  <c:v>5</c:v>
                </c:pt>
                <c:pt idx="26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6B5-43BC-BC7D-E731FE9F9A0B}"/>
            </c:ext>
          </c:extLst>
        </c:ser>
        <c:ser>
          <c:idx val="2"/>
          <c:order val="2"/>
          <c:tx>
            <c:strRef>
              <c:f>'Μητρώο Επιχειρήσεων'!$D$37</c:f>
              <c:strCache>
                <c:ptCount val="1"/>
                <c:pt idx="0">
                  <c:v>hotels &amp; restaurants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'Μητρώο Επιχειρήσεων'!$A$38:$A$64</c:f>
              <c:strCache>
                <c:ptCount val="27"/>
                <c:pt idx="0">
                  <c:v>Syros</c:v>
                </c:pt>
                <c:pt idx="1">
                  <c:v>Ellada</c:v>
                </c:pt>
                <c:pt idx="2">
                  <c:v>Chios</c:v>
                </c:pt>
                <c:pt idx="3">
                  <c:v>Lesvos</c:v>
                </c:pt>
                <c:pt idx="4">
                  <c:v>Kalymnos</c:v>
                </c:pt>
                <c:pt idx="5">
                  <c:v>Attiki islands</c:v>
                </c:pt>
                <c:pt idx="6">
                  <c:v>Ikaria</c:v>
                </c:pt>
                <c:pt idx="7">
                  <c:v>Limnos</c:v>
                </c:pt>
                <c:pt idx="8">
                  <c:v>Samos</c:v>
                </c:pt>
                <c:pt idx="9">
                  <c:v>Andros</c:v>
                </c:pt>
                <c:pt idx="10">
                  <c:v>Kefallinia</c:v>
                </c:pt>
                <c:pt idx="11">
                  <c:v>Kerkyra</c:v>
                </c:pt>
                <c:pt idx="12">
                  <c:v>Leykada</c:v>
                </c:pt>
                <c:pt idx="13">
                  <c:v>Rodos</c:v>
                </c:pt>
                <c:pt idx="14">
                  <c:v>Ithaki</c:v>
                </c:pt>
                <c:pt idx="15">
                  <c:v>Naxos</c:v>
                </c:pt>
                <c:pt idx="16">
                  <c:v>Tinos</c:v>
                </c:pt>
                <c:pt idx="17">
                  <c:v>Karpathos</c:v>
                </c:pt>
                <c:pt idx="18">
                  <c:v>Zakynthos</c:v>
                </c:pt>
                <c:pt idx="19">
                  <c:v>Paros</c:v>
                </c:pt>
                <c:pt idx="20">
                  <c:v>Milos</c:v>
                </c:pt>
                <c:pt idx="21">
                  <c:v>Kea-Kythnos</c:v>
                </c:pt>
                <c:pt idx="22">
                  <c:v>Kos</c:v>
                </c:pt>
                <c:pt idx="23">
                  <c:v>Mykonos</c:v>
                </c:pt>
                <c:pt idx="24">
                  <c:v>Thira</c:v>
                </c:pt>
                <c:pt idx="25">
                  <c:v>Thassos</c:v>
                </c:pt>
                <c:pt idx="26">
                  <c:v>Sporades</c:v>
                </c:pt>
              </c:strCache>
            </c:strRef>
          </c:cat>
          <c:val>
            <c:numRef>
              <c:f>'Μητρώο Επιχειρήσεων'!$D$38:$D$64</c:f>
              <c:numCache>
                <c:formatCode>General</c:formatCode>
                <c:ptCount val="27"/>
                <c:pt idx="0">
                  <c:v>21.4</c:v>
                </c:pt>
                <c:pt idx="1">
                  <c:v>15.3</c:v>
                </c:pt>
                <c:pt idx="2">
                  <c:v>18.600000000000001</c:v>
                </c:pt>
                <c:pt idx="3">
                  <c:v>18.100000000000001</c:v>
                </c:pt>
                <c:pt idx="4">
                  <c:v>26.9</c:v>
                </c:pt>
                <c:pt idx="5">
                  <c:v>28.2</c:v>
                </c:pt>
                <c:pt idx="6">
                  <c:v>32.299999999999997</c:v>
                </c:pt>
                <c:pt idx="7">
                  <c:v>24.9</c:v>
                </c:pt>
                <c:pt idx="8">
                  <c:v>31.7</c:v>
                </c:pt>
                <c:pt idx="9">
                  <c:v>37</c:v>
                </c:pt>
                <c:pt idx="10">
                  <c:v>37.9</c:v>
                </c:pt>
                <c:pt idx="11">
                  <c:v>41.6</c:v>
                </c:pt>
                <c:pt idx="12">
                  <c:v>41.5</c:v>
                </c:pt>
                <c:pt idx="13">
                  <c:v>44.2</c:v>
                </c:pt>
                <c:pt idx="14">
                  <c:v>42.4</c:v>
                </c:pt>
                <c:pt idx="15">
                  <c:v>44.2</c:v>
                </c:pt>
                <c:pt idx="16">
                  <c:v>44.1</c:v>
                </c:pt>
                <c:pt idx="17">
                  <c:v>47.4</c:v>
                </c:pt>
                <c:pt idx="18">
                  <c:v>46.8</c:v>
                </c:pt>
                <c:pt idx="19">
                  <c:v>50</c:v>
                </c:pt>
                <c:pt idx="20">
                  <c:v>53.2</c:v>
                </c:pt>
                <c:pt idx="21">
                  <c:v>46.3</c:v>
                </c:pt>
                <c:pt idx="22">
                  <c:v>55.9</c:v>
                </c:pt>
                <c:pt idx="23">
                  <c:v>60.4</c:v>
                </c:pt>
                <c:pt idx="24">
                  <c:v>58.3</c:v>
                </c:pt>
                <c:pt idx="25">
                  <c:v>54.6</c:v>
                </c:pt>
                <c:pt idx="26">
                  <c:v>61.5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6B5-43BC-BC7D-E731FE9F9A0B}"/>
            </c:ext>
          </c:extLst>
        </c:ser>
        <c:ser>
          <c:idx val="3"/>
          <c:order val="3"/>
          <c:tx>
            <c:strRef>
              <c:f>'Μητρώο Επιχειρήσεων'!$E$37</c:f>
              <c:strCache>
                <c:ptCount val="1"/>
                <c:pt idx="0">
                  <c:v>trade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'Μητρώο Επιχειρήσεων'!$A$38:$A$64</c:f>
              <c:strCache>
                <c:ptCount val="27"/>
                <c:pt idx="0">
                  <c:v>Syros</c:v>
                </c:pt>
                <c:pt idx="1">
                  <c:v>Ellada</c:v>
                </c:pt>
                <c:pt idx="2">
                  <c:v>Chios</c:v>
                </c:pt>
                <c:pt idx="3">
                  <c:v>Lesvos</c:v>
                </c:pt>
                <c:pt idx="4">
                  <c:v>Kalymnos</c:v>
                </c:pt>
                <c:pt idx="5">
                  <c:v>Attiki islands</c:v>
                </c:pt>
                <c:pt idx="6">
                  <c:v>Ikaria</c:v>
                </c:pt>
                <c:pt idx="7">
                  <c:v>Limnos</c:v>
                </c:pt>
                <c:pt idx="8">
                  <c:v>Samos</c:v>
                </c:pt>
                <c:pt idx="9">
                  <c:v>Andros</c:v>
                </c:pt>
                <c:pt idx="10">
                  <c:v>Kefallinia</c:v>
                </c:pt>
                <c:pt idx="11">
                  <c:v>Kerkyra</c:v>
                </c:pt>
                <c:pt idx="12">
                  <c:v>Leykada</c:v>
                </c:pt>
                <c:pt idx="13">
                  <c:v>Rodos</c:v>
                </c:pt>
                <c:pt idx="14">
                  <c:v>Ithaki</c:v>
                </c:pt>
                <c:pt idx="15">
                  <c:v>Naxos</c:v>
                </c:pt>
                <c:pt idx="16">
                  <c:v>Tinos</c:v>
                </c:pt>
                <c:pt idx="17">
                  <c:v>Karpathos</c:v>
                </c:pt>
                <c:pt idx="18">
                  <c:v>Zakynthos</c:v>
                </c:pt>
                <c:pt idx="19">
                  <c:v>Paros</c:v>
                </c:pt>
                <c:pt idx="20">
                  <c:v>Milos</c:v>
                </c:pt>
                <c:pt idx="21">
                  <c:v>Kea-Kythnos</c:v>
                </c:pt>
                <c:pt idx="22">
                  <c:v>Kos</c:v>
                </c:pt>
                <c:pt idx="23">
                  <c:v>Mykonos</c:v>
                </c:pt>
                <c:pt idx="24">
                  <c:v>Thira</c:v>
                </c:pt>
                <c:pt idx="25">
                  <c:v>Thassos</c:v>
                </c:pt>
                <c:pt idx="26">
                  <c:v>Sporades</c:v>
                </c:pt>
              </c:strCache>
            </c:strRef>
          </c:cat>
          <c:val>
            <c:numRef>
              <c:f>'Μητρώο Επιχειρήσεων'!$E$38:$E$64</c:f>
              <c:numCache>
                <c:formatCode>General</c:formatCode>
                <c:ptCount val="27"/>
                <c:pt idx="0">
                  <c:v>12.1</c:v>
                </c:pt>
                <c:pt idx="1">
                  <c:v>17.8</c:v>
                </c:pt>
                <c:pt idx="2">
                  <c:v>17.5</c:v>
                </c:pt>
                <c:pt idx="3">
                  <c:v>16.600000000000001</c:v>
                </c:pt>
                <c:pt idx="4">
                  <c:v>19.600000000000001</c:v>
                </c:pt>
                <c:pt idx="5">
                  <c:v>29</c:v>
                </c:pt>
                <c:pt idx="6">
                  <c:v>18.2</c:v>
                </c:pt>
                <c:pt idx="7">
                  <c:v>16.5</c:v>
                </c:pt>
                <c:pt idx="8">
                  <c:v>15.9</c:v>
                </c:pt>
                <c:pt idx="9">
                  <c:v>16.100000000000001</c:v>
                </c:pt>
                <c:pt idx="10">
                  <c:v>14.9</c:v>
                </c:pt>
                <c:pt idx="11">
                  <c:v>15.4</c:v>
                </c:pt>
                <c:pt idx="12">
                  <c:v>13.5</c:v>
                </c:pt>
                <c:pt idx="13">
                  <c:v>15</c:v>
                </c:pt>
                <c:pt idx="14">
                  <c:v>20.399999999999999</c:v>
                </c:pt>
                <c:pt idx="15">
                  <c:v>13.5</c:v>
                </c:pt>
                <c:pt idx="16">
                  <c:v>15.6</c:v>
                </c:pt>
                <c:pt idx="17">
                  <c:v>13.7</c:v>
                </c:pt>
                <c:pt idx="18">
                  <c:v>13.9</c:v>
                </c:pt>
                <c:pt idx="19">
                  <c:v>16</c:v>
                </c:pt>
                <c:pt idx="20">
                  <c:v>12.2</c:v>
                </c:pt>
                <c:pt idx="21">
                  <c:v>13.9</c:v>
                </c:pt>
                <c:pt idx="22">
                  <c:v>14.7</c:v>
                </c:pt>
                <c:pt idx="23">
                  <c:v>13.3</c:v>
                </c:pt>
                <c:pt idx="24">
                  <c:v>13.7</c:v>
                </c:pt>
                <c:pt idx="25">
                  <c:v>13.3</c:v>
                </c:pt>
                <c:pt idx="26">
                  <c:v>12.8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6B5-43BC-BC7D-E731FE9F9A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806692975"/>
        <c:axId val="1806693455"/>
      </c:barChart>
      <c:catAx>
        <c:axId val="180669297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806693455"/>
        <c:crosses val="autoZero"/>
        <c:auto val="1"/>
        <c:lblAlgn val="ctr"/>
        <c:lblOffset val="100"/>
        <c:noMultiLvlLbl val="0"/>
      </c:catAx>
      <c:valAx>
        <c:axId val="180669345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80669297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Productivity!$N$3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Productivity!$A$4:$A$17</c:f>
              <c:strCache>
                <c:ptCount val="14"/>
                <c:pt idx="0">
                  <c:v>Total</c:v>
                </c:pt>
                <c:pt idx="1">
                  <c:v>Anatoliki Makedonia and Thraki</c:v>
                </c:pt>
                <c:pt idx="2">
                  <c:v>Kentriki Makedonia</c:v>
                </c:pt>
                <c:pt idx="3">
                  <c:v>Dytiki Makedonia</c:v>
                </c:pt>
                <c:pt idx="4">
                  <c:v> Ipeiros</c:v>
                </c:pt>
                <c:pt idx="5">
                  <c:v>Thessalia</c:v>
                </c:pt>
                <c:pt idx="6">
                  <c:v>Sterea Ellada</c:v>
                </c:pt>
                <c:pt idx="7">
                  <c:v>Ionia Nisia</c:v>
                </c:pt>
                <c:pt idx="8">
                  <c:v>Dytiki Ellada</c:v>
                </c:pt>
                <c:pt idx="9">
                  <c:v> Peloponnisos</c:v>
                </c:pt>
                <c:pt idx="10">
                  <c:v>Attiki</c:v>
                </c:pt>
                <c:pt idx="11">
                  <c:v>Voreio Aigaio</c:v>
                </c:pt>
                <c:pt idx="12">
                  <c:v>Notio Aigaio</c:v>
                </c:pt>
                <c:pt idx="13">
                  <c:v>Kriti</c:v>
                </c:pt>
              </c:strCache>
            </c:strRef>
          </c:cat>
          <c:val>
            <c:numRef>
              <c:f>Productivity!$N$4:$N$17</c:f>
              <c:numCache>
                <c:formatCode>General</c:formatCode>
                <c:ptCount val="14"/>
                <c:pt idx="0">
                  <c:v>26.660698954420429</c:v>
                </c:pt>
                <c:pt idx="1">
                  <c:v>13.832457228533945</c:v>
                </c:pt>
                <c:pt idx="2">
                  <c:v>17.393294656042894</c:v>
                </c:pt>
                <c:pt idx="3">
                  <c:v>11.744016058999367</c:v>
                </c:pt>
                <c:pt idx="4">
                  <c:v>12.568679359157247</c:v>
                </c:pt>
                <c:pt idx="5">
                  <c:v>14.22002572159686</c:v>
                </c:pt>
                <c:pt idx="6">
                  <c:v>5.7275731109029184</c:v>
                </c:pt>
                <c:pt idx="7">
                  <c:v>10.809198643112031</c:v>
                </c:pt>
                <c:pt idx="8">
                  <c:v>11.001271169065486</c:v>
                </c:pt>
                <c:pt idx="9">
                  <c:v>13.501963459682518</c:v>
                </c:pt>
                <c:pt idx="10">
                  <c:v>39.103372890619376</c:v>
                </c:pt>
                <c:pt idx="11">
                  <c:v>9.7528663076804172</c:v>
                </c:pt>
                <c:pt idx="12">
                  <c:v>19.933956139936736</c:v>
                </c:pt>
                <c:pt idx="13">
                  <c:v>17.73003215132243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C7-49D4-A84D-E09718506E82}"/>
            </c:ext>
          </c:extLst>
        </c:ser>
        <c:ser>
          <c:idx val="1"/>
          <c:order val="1"/>
          <c:tx>
            <c:strRef>
              <c:f>Productivity!$O$3</c:f>
              <c:strCache>
                <c:ptCount val="1"/>
                <c:pt idx="0">
                  <c:v>trade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Productivity!$A$4:$A$17</c:f>
              <c:strCache>
                <c:ptCount val="14"/>
                <c:pt idx="0">
                  <c:v>Total</c:v>
                </c:pt>
                <c:pt idx="1">
                  <c:v>Anatoliki Makedonia and Thraki</c:v>
                </c:pt>
                <c:pt idx="2">
                  <c:v>Kentriki Makedonia</c:v>
                </c:pt>
                <c:pt idx="3">
                  <c:v>Dytiki Makedonia</c:v>
                </c:pt>
                <c:pt idx="4">
                  <c:v> Ipeiros</c:v>
                </c:pt>
                <c:pt idx="5">
                  <c:v>Thessalia</c:v>
                </c:pt>
                <c:pt idx="6">
                  <c:v>Sterea Ellada</c:v>
                </c:pt>
                <c:pt idx="7">
                  <c:v>Ionia Nisia</c:v>
                </c:pt>
                <c:pt idx="8">
                  <c:v>Dytiki Ellada</c:v>
                </c:pt>
                <c:pt idx="9">
                  <c:v> Peloponnisos</c:v>
                </c:pt>
                <c:pt idx="10">
                  <c:v>Attiki</c:v>
                </c:pt>
                <c:pt idx="11">
                  <c:v>Voreio Aigaio</c:v>
                </c:pt>
                <c:pt idx="12">
                  <c:v>Notio Aigaio</c:v>
                </c:pt>
                <c:pt idx="13">
                  <c:v>Kriti</c:v>
                </c:pt>
              </c:strCache>
            </c:strRef>
          </c:cat>
          <c:val>
            <c:numRef>
              <c:f>Productivity!$O$4:$O$17</c:f>
              <c:numCache>
                <c:formatCode>General</c:formatCode>
                <c:ptCount val="14"/>
                <c:pt idx="0">
                  <c:v>20.802242522869047</c:v>
                </c:pt>
                <c:pt idx="1">
                  <c:v>11.610942249240122</c:v>
                </c:pt>
                <c:pt idx="2">
                  <c:v>18.822277355144998</c:v>
                </c:pt>
                <c:pt idx="3">
                  <c:v>11.451339784145887</c:v>
                </c:pt>
                <c:pt idx="4">
                  <c:v>12.054213500589952</c:v>
                </c:pt>
                <c:pt idx="5">
                  <c:v>12.371432030753398</c:v>
                </c:pt>
                <c:pt idx="6">
                  <c:v>-28.821914303986357</c:v>
                </c:pt>
                <c:pt idx="7">
                  <c:v>-7.70781328007988</c:v>
                </c:pt>
                <c:pt idx="8">
                  <c:v>9.4010867189207765</c:v>
                </c:pt>
                <c:pt idx="9">
                  <c:v>12.412151968179948</c:v>
                </c:pt>
                <c:pt idx="10">
                  <c:v>29.944211711711713</c:v>
                </c:pt>
                <c:pt idx="11">
                  <c:v>10.857142857142858</c:v>
                </c:pt>
                <c:pt idx="12">
                  <c:v>18.607822030857552</c:v>
                </c:pt>
                <c:pt idx="13">
                  <c:v>16.174765165481521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C7-49D4-A84D-E09718506E82}"/>
            </c:ext>
          </c:extLst>
        </c:ser>
        <c:ser>
          <c:idx val="2"/>
          <c:order val="2"/>
          <c:tx>
            <c:strRef>
              <c:f>Productivity!$P$3</c:f>
              <c:strCache>
                <c:ptCount val="1"/>
                <c:pt idx="0">
                  <c:v>Hotels &amp; Restaurants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Productivity!$A$4:$A$17</c:f>
              <c:strCache>
                <c:ptCount val="14"/>
                <c:pt idx="0">
                  <c:v>Total</c:v>
                </c:pt>
                <c:pt idx="1">
                  <c:v>Anatoliki Makedonia and Thraki</c:v>
                </c:pt>
                <c:pt idx="2">
                  <c:v>Kentriki Makedonia</c:v>
                </c:pt>
                <c:pt idx="3">
                  <c:v>Dytiki Makedonia</c:v>
                </c:pt>
                <c:pt idx="4">
                  <c:v> Ipeiros</c:v>
                </c:pt>
                <c:pt idx="5">
                  <c:v>Thessalia</c:v>
                </c:pt>
                <c:pt idx="6">
                  <c:v>Sterea Ellada</c:v>
                </c:pt>
                <c:pt idx="7">
                  <c:v>Ionia Nisia</c:v>
                </c:pt>
                <c:pt idx="8">
                  <c:v>Dytiki Ellada</c:v>
                </c:pt>
                <c:pt idx="9">
                  <c:v> Peloponnisos</c:v>
                </c:pt>
                <c:pt idx="10">
                  <c:v>Attiki</c:v>
                </c:pt>
                <c:pt idx="11">
                  <c:v>Voreio Aigaio</c:v>
                </c:pt>
                <c:pt idx="12">
                  <c:v>Notio Aigaio</c:v>
                </c:pt>
                <c:pt idx="13">
                  <c:v>Kriti</c:v>
                </c:pt>
              </c:strCache>
            </c:strRef>
          </c:cat>
          <c:val>
            <c:numRef>
              <c:f>Productivity!$P$4:$P$17</c:f>
              <c:numCache>
                <c:formatCode>0.000</c:formatCode>
                <c:ptCount val="14"/>
                <c:pt idx="0">
                  <c:v>10.794352343326537</c:v>
                </c:pt>
                <c:pt idx="1">
                  <c:v>4.3965068891907624</c:v>
                </c:pt>
                <c:pt idx="2">
                  <c:v>7.0515857966906852</c:v>
                </c:pt>
                <c:pt idx="3">
                  <c:v>3.8486956521739129</c:v>
                </c:pt>
                <c:pt idx="4">
                  <c:v>5.2857142857142856</c:v>
                </c:pt>
                <c:pt idx="5">
                  <c:v>4.5932279774065616</c:v>
                </c:pt>
                <c:pt idx="6">
                  <c:v>3.3596319203499774</c:v>
                </c:pt>
                <c:pt idx="7">
                  <c:v>13.49920021327646</c:v>
                </c:pt>
                <c:pt idx="8">
                  <c:v>3.4957047945495323</c:v>
                </c:pt>
                <c:pt idx="9">
                  <c:v>4.9697555717591859</c:v>
                </c:pt>
                <c:pt idx="10">
                  <c:v>10.345953276832031</c:v>
                </c:pt>
                <c:pt idx="11">
                  <c:v>5.6204155517078549</c:v>
                </c:pt>
                <c:pt idx="12">
                  <c:v>21.131401476396359</c:v>
                </c:pt>
                <c:pt idx="13">
                  <c:v>17.719977833943801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9C7-49D4-A84D-E09718506E82}"/>
            </c:ext>
          </c:extLst>
        </c:ser>
        <c:ser>
          <c:idx val="3"/>
          <c:order val="3"/>
          <c:tx>
            <c:strRef>
              <c:f>Productivity!$Q$3</c:f>
              <c:strCache>
                <c:ptCount val="1"/>
                <c:pt idx="0">
                  <c:v>Manufacture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Productivity!$A$4:$A$17</c:f>
              <c:strCache>
                <c:ptCount val="14"/>
                <c:pt idx="0">
                  <c:v>Total</c:v>
                </c:pt>
                <c:pt idx="1">
                  <c:v>Anatoliki Makedonia and Thraki</c:v>
                </c:pt>
                <c:pt idx="2">
                  <c:v>Kentriki Makedonia</c:v>
                </c:pt>
                <c:pt idx="3">
                  <c:v>Dytiki Makedonia</c:v>
                </c:pt>
                <c:pt idx="4">
                  <c:v> Ipeiros</c:v>
                </c:pt>
                <c:pt idx="5">
                  <c:v>Thessalia</c:v>
                </c:pt>
                <c:pt idx="6">
                  <c:v>Sterea Ellada</c:v>
                </c:pt>
                <c:pt idx="7">
                  <c:v>Ionia Nisia</c:v>
                </c:pt>
                <c:pt idx="8">
                  <c:v>Dytiki Ellada</c:v>
                </c:pt>
                <c:pt idx="9">
                  <c:v> Peloponnisos</c:v>
                </c:pt>
                <c:pt idx="10">
                  <c:v>Attiki</c:v>
                </c:pt>
                <c:pt idx="11">
                  <c:v>Voreio Aigaio</c:v>
                </c:pt>
                <c:pt idx="12">
                  <c:v>Notio Aigaio</c:v>
                </c:pt>
                <c:pt idx="13">
                  <c:v>Kriti</c:v>
                </c:pt>
              </c:strCache>
            </c:strRef>
          </c:cat>
          <c:val>
            <c:numRef>
              <c:f>Productivity!$Q$4:$Q$17</c:f>
              <c:numCache>
                <c:formatCode>General</c:formatCode>
                <c:ptCount val="14"/>
                <c:pt idx="0">
                  <c:v>44.419334615734961</c:v>
                </c:pt>
                <c:pt idx="1">
                  <c:v>28.713251735906791</c:v>
                </c:pt>
                <c:pt idx="2">
                  <c:v>30.000807305452621</c:v>
                </c:pt>
                <c:pt idx="3">
                  <c:v>19.516162514827997</c:v>
                </c:pt>
                <c:pt idx="4">
                  <c:v>24.842358249950951</c:v>
                </c:pt>
                <c:pt idx="5">
                  <c:v>32.453501022672874</c:v>
                </c:pt>
                <c:pt idx="6">
                  <c:v>36.632102352086712</c:v>
                </c:pt>
                <c:pt idx="7">
                  <c:v>14.127526753864448</c:v>
                </c:pt>
                <c:pt idx="8">
                  <c:v>23.806871165644171</c:v>
                </c:pt>
                <c:pt idx="9">
                  <c:v>36.044199268986056</c:v>
                </c:pt>
                <c:pt idx="10">
                  <c:v>63.040743810029156</c:v>
                </c:pt>
                <c:pt idx="11">
                  <c:v>17.678204249485951</c:v>
                </c:pt>
                <c:pt idx="12">
                  <c:v>19.718734134371299</c:v>
                </c:pt>
                <c:pt idx="13">
                  <c:v>26.661238805035385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9C7-49D4-A84D-E09718506E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03280144"/>
        <c:axId val="1603283504"/>
      </c:barChart>
      <c:catAx>
        <c:axId val="1603280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603283504"/>
        <c:crosses val="autoZero"/>
        <c:auto val="1"/>
        <c:lblAlgn val="ctr"/>
        <c:lblOffset val="100"/>
        <c:noMultiLvlLbl val="0"/>
      </c:catAx>
      <c:valAx>
        <c:axId val="1603283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6032801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.xml"/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83343</xdr:colOff>
      <xdr:row>9</xdr:row>
      <xdr:rowOff>123825</xdr:rowOff>
    </xdr:from>
    <xdr:to>
      <xdr:col>16</xdr:col>
      <xdr:colOff>121443</xdr:colOff>
      <xdr:row>24</xdr:row>
      <xdr:rowOff>152400</xdr:rowOff>
    </xdr:to>
    <xdr:graphicFrame macro="">
      <xdr:nvGraphicFramePr>
        <xdr:cNvPr id="2" name="Γράφημα 1">
          <a:extLst>
            <a:ext uri="{FF2B5EF4-FFF2-40B4-BE49-F238E27FC236}">
              <a16:creationId xmlns:a16="http://schemas.microsoft.com/office/drawing/2014/main" id="{8EE4E79E-6C8F-E412-39ED-29908064F30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421480</xdr:colOff>
      <xdr:row>0</xdr:row>
      <xdr:rowOff>0</xdr:rowOff>
    </xdr:from>
    <xdr:to>
      <xdr:col>20</xdr:col>
      <xdr:colOff>271464</xdr:colOff>
      <xdr:row>14</xdr:row>
      <xdr:rowOff>19050</xdr:rowOff>
    </xdr:to>
    <xdr:graphicFrame macro="">
      <xdr:nvGraphicFramePr>
        <xdr:cNvPr id="3" name="Γράφημα 2">
          <a:extLst>
            <a:ext uri="{FF2B5EF4-FFF2-40B4-BE49-F238E27FC236}">
              <a16:creationId xmlns:a16="http://schemas.microsoft.com/office/drawing/2014/main" id="{C4C51E3C-8DCE-CB76-75F6-8AAB22DEEEF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123825</xdr:colOff>
      <xdr:row>27</xdr:row>
      <xdr:rowOff>66673</xdr:rowOff>
    </xdr:from>
    <xdr:to>
      <xdr:col>24</xdr:col>
      <xdr:colOff>628650</xdr:colOff>
      <xdr:row>46</xdr:row>
      <xdr:rowOff>119063</xdr:rowOff>
    </xdr:to>
    <xdr:graphicFrame macro="">
      <xdr:nvGraphicFramePr>
        <xdr:cNvPr id="4" name="Γράφημα 3">
          <a:extLst>
            <a:ext uri="{FF2B5EF4-FFF2-40B4-BE49-F238E27FC236}">
              <a16:creationId xmlns:a16="http://schemas.microsoft.com/office/drawing/2014/main" id="{A4B1887A-1229-86B4-7827-B6E4B8C8741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473807</xdr:colOff>
      <xdr:row>11</xdr:row>
      <xdr:rowOff>146538</xdr:rowOff>
    </xdr:from>
    <xdr:to>
      <xdr:col>23</xdr:col>
      <xdr:colOff>390769</xdr:colOff>
      <xdr:row>32</xdr:row>
      <xdr:rowOff>116010</xdr:rowOff>
    </xdr:to>
    <xdr:graphicFrame macro="">
      <xdr:nvGraphicFramePr>
        <xdr:cNvPr id="3" name="Γράφημα 2">
          <a:extLst>
            <a:ext uri="{FF2B5EF4-FFF2-40B4-BE49-F238E27FC236}">
              <a16:creationId xmlns:a16="http://schemas.microsoft.com/office/drawing/2014/main" id="{E44EA4C2-E93E-73B1-2FC8-2CC269C87F8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540970</xdr:colOff>
      <xdr:row>27</xdr:row>
      <xdr:rowOff>115519</xdr:rowOff>
    </xdr:from>
    <xdr:to>
      <xdr:col>12</xdr:col>
      <xdr:colOff>451827</xdr:colOff>
      <xdr:row>61</xdr:row>
      <xdr:rowOff>85480</xdr:rowOff>
    </xdr:to>
    <xdr:graphicFrame macro="">
      <xdr:nvGraphicFramePr>
        <xdr:cNvPr id="4" name="Γράφημα 3">
          <a:extLst>
            <a:ext uri="{FF2B5EF4-FFF2-40B4-BE49-F238E27FC236}">
              <a16:creationId xmlns:a16="http://schemas.microsoft.com/office/drawing/2014/main" id="{D502167D-EC53-788D-9087-B4DC1FD91C7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230307</xdr:colOff>
      <xdr:row>69</xdr:row>
      <xdr:rowOff>104561</xdr:rowOff>
    </xdr:from>
    <xdr:to>
      <xdr:col>11</xdr:col>
      <xdr:colOff>928333</xdr:colOff>
      <xdr:row>88</xdr:row>
      <xdr:rowOff>11584</xdr:rowOff>
    </xdr:to>
    <xdr:graphicFrame macro="">
      <xdr:nvGraphicFramePr>
        <xdr:cNvPr id="4" name="Γράφημα 3">
          <a:extLst>
            <a:ext uri="{FF2B5EF4-FFF2-40B4-BE49-F238E27FC236}">
              <a16:creationId xmlns:a16="http://schemas.microsoft.com/office/drawing/2014/main" id="{011368D4-32AF-1C77-BECA-1143AF78199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644500</xdr:colOff>
      <xdr:row>7</xdr:row>
      <xdr:rowOff>24025</xdr:rowOff>
    </xdr:from>
    <xdr:to>
      <xdr:col>24</xdr:col>
      <xdr:colOff>10946</xdr:colOff>
      <xdr:row>25</xdr:row>
      <xdr:rowOff>94539</xdr:rowOff>
    </xdr:to>
    <xdr:graphicFrame macro="">
      <xdr:nvGraphicFramePr>
        <xdr:cNvPr id="5" name="Γράφημα 4">
          <a:extLst>
            <a:ext uri="{FF2B5EF4-FFF2-40B4-BE49-F238E27FC236}">
              <a16:creationId xmlns:a16="http://schemas.microsoft.com/office/drawing/2014/main" id="{4527BCF5-949C-6299-1C5C-2BA42C16F8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14</xdr:col>
      <xdr:colOff>163985</xdr:colOff>
      <xdr:row>36</xdr:row>
      <xdr:rowOff>450516</xdr:rowOff>
    </xdr:from>
    <xdr:to>
      <xdr:col>23</xdr:col>
      <xdr:colOff>298546</xdr:colOff>
      <xdr:row>61</xdr:row>
      <xdr:rowOff>0</xdr:rowOff>
    </xdr:to>
    <xdr:graphicFrame macro="">
      <xdr:nvGraphicFramePr>
        <xdr:cNvPr id="6" name="Γράφημα 5">
          <a:extLst>
            <a:ext uri="{FF2B5EF4-FFF2-40B4-BE49-F238E27FC236}">
              <a16:creationId xmlns:a16="http://schemas.microsoft.com/office/drawing/2014/main" id="{3BEA2A80-1384-1D33-E7CC-765AAECC315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145255</xdr:colOff>
      <xdr:row>17</xdr:row>
      <xdr:rowOff>33338</xdr:rowOff>
    </xdr:from>
    <xdr:to>
      <xdr:col>16</xdr:col>
      <xdr:colOff>183355</xdr:colOff>
      <xdr:row>32</xdr:row>
      <xdr:rowOff>61913</xdr:rowOff>
    </xdr:to>
    <xdr:graphicFrame macro="">
      <xdr:nvGraphicFramePr>
        <xdr:cNvPr id="2" name="Γράφημα 1">
          <a:extLst>
            <a:ext uri="{FF2B5EF4-FFF2-40B4-BE49-F238E27FC236}">
              <a16:creationId xmlns:a16="http://schemas.microsoft.com/office/drawing/2014/main" id="{BF76EA4F-9881-BB30-ABB9-DE0FAD44A7F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021FD4-DEFE-4679-8793-73ADEB781BD2}">
  <dimension ref="A1:G88"/>
  <sheetViews>
    <sheetView topLeftCell="A48" workbookViewId="0">
      <selection activeCell="I57" sqref="I57"/>
    </sheetView>
  </sheetViews>
  <sheetFormatPr defaultRowHeight="15" x14ac:dyDescent="0.25"/>
  <cols>
    <col min="6" max="7" width="11.85546875" style="37" customWidth="1"/>
  </cols>
  <sheetData>
    <row r="1" spans="1:7" x14ac:dyDescent="0.25">
      <c r="A1" s="45">
        <v>30003</v>
      </c>
      <c r="B1" s="45" t="s">
        <v>150</v>
      </c>
      <c r="C1" s="45" t="s">
        <v>151</v>
      </c>
      <c r="D1" s="44">
        <v>20.04</v>
      </c>
      <c r="F1" s="49" t="s">
        <v>267</v>
      </c>
      <c r="G1" s="49">
        <v>39</v>
      </c>
    </row>
    <row r="2" spans="1:7" x14ac:dyDescent="0.25">
      <c r="A2" s="45">
        <v>22402</v>
      </c>
      <c r="B2" s="45" t="s">
        <v>133</v>
      </c>
      <c r="C2" s="45" t="s">
        <v>134</v>
      </c>
      <c r="D2" s="44">
        <v>5.73</v>
      </c>
      <c r="F2" s="49" t="s">
        <v>258</v>
      </c>
      <c r="G2" s="49">
        <v>40</v>
      </c>
    </row>
    <row r="3" spans="1:7" x14ac:dyDescent="0.25">
      <c r="A3" s="45">
        <v>42207</v>
      </c>
      <c r="B3" s="45" t="s">
        <v>210</v>
      </c>
      <c r="C3" s="45" t="s">
        <v>211</v>
      </c>
      <c r="D3" s="44">
        <v>17.600000000000001</v>
      </c>
      <c r="F3" s="49" t="s">
        <v>302</v>
      </c>
      <c r="G3" s="49">
        <v>148</v>
      </c>
    </row>
    <row r="4" spans="1:7" x14ac:dyDescent="0.25">
      <c r="A4" s="45">
        <v>24501</v>
      </c>
      <c r="B4" s="45" t="s">
        <v>142</v>
      </c>
      <c r="C4" s="45" t="s">
        <v>143</v>
      </c>
      <c r="D4" s="44">
        <v>2.4500000000000002</v>
      </c>
      <c r="F4" s="51" t="s">
        <v>263</v>
      </c>
      <c r="G4" s="51">
        <v>169</v>
      </c>
    </row>
    <row r="5" spans="1:7" x14ac:dyDescent="0.25">
      <c r="A5" s="45">
        <v>22304</v>
      </c>
      <c r="B5" s="45" t="s">
        <v>125</v>
      </c>
      <c r="C5" s="45" t="s">
        <v>126</v>
      </c>
      <c r="D5" s="44">
        <v>3.1</v>
      </c>
      <c r="F5" s="51" t="s">
        <v>254</v>
      </c>
      <c r="G5" s="49">
        <v>174</v>
      </c>
    </row>
    <row r="6" spans="1:7" x14ac:dyDescent="0.25">
      <c r="A6" s="45">
        <v>42101</v>
      </c>
      <c r="B6" s="45" t="s">
        <v>175</v>
      </c>
      <c r="C6" s="45" t="s">
        <v>176</v>
      </c>
      <c r="D6" s="44">
        <v>13.5</v>
      </c>
      <c r="F6" s="53" t="s">
        <v>282</v>
      </c>
      <c r="G6" s="49">
        <v>202</v>
      </c>
    </row>
    <row r="7" spans="1:7" x14ac:dyDescent="0.25">
      <c r="A7" s="45">
        <v>42206</v>
      </c>
      <c r="B7" s="45" t="s">
        <v>208</v>
      </c>
      <c r="C7" s="45" t="s">
        <v>209</v>
      </c>
      <c r="D7" s="44">
        <v>13.48</v>
      </c>
      <c r="F7" s="49" t="s">
        <v>301</v>
      </c>
      <c r="G7" s="49">
        <v>213</v>
      </c>
    </row>
    <row r="8" spans="1:7" x14ac:dyDescent="0.25">
      <c r="A8" s="45">
        <v>42220</v>
      </c>
      <c r="B8" s="45" t="s">
        <v>231</v>
      </c>
      <c r="C8" s="45" t="s">
        <v>232</v>
      </c>
      <c r="D8" s="44">
        <v>7.78</v>
      </c>
      <c r="F8" s="49" t="s">
        <v>315</v>
      </c>
      <c r="G8" s="49">
        <v>229</v>
      </c>
    </row>
    <row r="9" spans="1:7" x14ac:dyDescent="0.25">
      <c r="A9" s="45">
        <v>42209</v>
      </c>
      <c r="B9" s="45" t="s">
        <v>213</v>
      </c>
      <c r="C9" s="45" t="s">
        <v>214</v>
      </c>
      <c r="D9" s="44">
        <v>9.3000000000000007</v>
      </c>
      <c r="F9" s="49" t="s">
        <v>304</v>
      </c>
      <c r="G9" s="49">
        <v>249</v>
      </c>
    </row>
    <row r="10" spans="1:7" x14ac:dyDescent="0.25">
      <c r="A10" s="45">
        <v>42221</v>
      </c>
      <c r="B10" s="45" t="s">
        <v>233</v>
      </c>
      <c r="C10" s="45" t="s">
        <v>234</v>
      </c>
      <c r="D10" s="44">
        <v>41.03</v>
      </c>
      <c r="F10" s="49" t="s">
        <v>316</v>
      </c>
      <c r="G10" s="55">
        <v>253</v>
      </c>
    </row>
    <row r="11" spans="1:7" x14ac:dyDescent="0.25">
      <c r="A11" s="45">
        <v>41101</v>
      </c>
      <c r="B11" s="45" t="s">
        <v>162</v>
      </c>
      <c r="C11" s="45" t="s">
        <v>163</v>
      </c>
      <c r="D11" s="44">
        <v>43.23</v>
      </c>
      <c r="F11" s="49" t="s">
        <v>273</v>
      </c>
      <c r="G11" s="49">
        <v>257</v>
      </c>
    </row>
    <row r="12" spans="1:7" x14ac:dyDescent="0.25">
      <c r="A12" s="45">
        <v>42202</v>
      </c>
      <c r="B12" s="45" t="s">
        <v>203</v>
      </c>
      <c r="C12" s="45" t="s">
        <v>204</v>
      </c>
      <c r="D12" s="44">
        <v>38.35</v>
      </c>
      <c r="F12" s="49" t="s">
        <v>298</v>
      </c>
      <c r="G12" s="49">
        <v>293</v>
      </c>
    </row>
    <row r="13" spans="1:7" x14ac:dyDescent="0.25">
      <c r="A13" s="45">
        <v>22401</v>
      </c>
      <c r="B13" s="45" t="s">
        <v>131</v>
      </c>
      <c r="C13" s="45" t="s">
        <v>132</v>
      </c>
      <c r="D13" s="44">
        <v>24.88</v>
      </c>
      <c r="F13" s="49" t="s">
        <v>257</v>
      </c>
      <c r="G13" s="49">
        <v>342</v>
      </c>
    </row>
    <row r="14" spans="1:7" x14ac:dyDescent="0.25">
      <c r="A14" s="45">
        <v>22305</v>
      </c>
      <c r="B14" s="45" t="s">
        <v>127</v>
      </c>
      <c r="C14" s="45" t="s">
        <v>128</v>
      </c>
      <c r="D14" s="44">
        <v>10.08</v>
      </c>
      <c r="F14" s="51" t="s">
        <v>255</v>
      </c>
      <c r="G14" s="49">
        <v>386</v>
      </c>
    </row>
    <row r="15" spans="1:7" x14ac:dyDescent="0.25">
      <c r="A15" s="45">
        <v>42213</v>
      </c>
      <c r="B15" s="45" t="s">
        <v>221</v>
      </c>
      <c r="C15" s="45" t="s">
        <v>222</v>
      </c>
      <c r="D15" s="44">
        <v>5.7</v>
      </c>
      <c r="F15" s="49" t="s">
        <v>308</v>
      </c>
      <c r="G15" s="49">
        <v>391</v>
      </c>
    </row>
    <row r="16" spans="1:7" x14ac:dyDescent="0.25">
      <c r="A16" s="45">
        <v>41303</v>
      </c>
      <c r="B16" s="45" t="s">
        <v>173</v>
      </c>
      <c r="C16" s="45" t="s">
        <v>174</v>
      </c>
      <c r="D16" s="44">
        <v>39.770000000000003</v>
      </c>
      <c r="F16" s="49" t="s">
        <v>281</v>
      </c>
      <c r="G16" s="49">
        <v>420</v>
      </c>
    </row>
    <row r="17" spans="1:7" x14ac:dyDescent="0.25">
      <c r="A17" s="45">
        <v>22302</v>
      </c>
      <c r="B17" s="45" t="s">
        <v>122</v>
      </c>
      <c r="C17" s="45" t="s">
        <v>123</v>
      </c>
      <c r="D17" s="44">
        <v>4.45</v>
      </c>
      <c r="F17" s="49" t="s">
        <v>252</v>
      </c>
      <c r="G17" s="49">
        <v>447</v>
      </c>
    </row>
    <row r="18" spans="1:7" x14ac:dyDescent="0.25">
      <c r="A18" s="45">
        <v>42118</v>
      </c>
      <c r="B18" s="45" t="s">
        <v>199</v>
      </c>
      <c r="C18" s="45" t="s">
        <v>200</v>
      </c>
      <c r="D18" s="44">
        <v>28.13</v>
      </c>
      <c r="F18" s="49" t="s">
        <v>296</v>
      </c>
      <c r="G18" s="49">
        <v>475</v>
      </c>
    </row>
    <row r="19" spans="1:7" x14ac:dyDescent="0.25">
      <c r="A19" s="45">
        <v>12701</v>
      </c>
      <c r="B19" s="45" t="s">
        <v>110</v>
      </c>
      <c r="C19" s="45" t="s">
        <v>111</v>
      </c>
      <c r="D19" s="44">
        <v>6.9</v>
      </c>
      <c r="F19" s="49" t="s">
        <v>245</v>
      </c>
      <c r="G19" s="49">
        <v>521</v>
      </c>
    </row>
    <row r="20" spans="1:7" ht="24.75" x14ac:dyDescent="0.25">
      <c r="A20" s="45">
        <v>42111</v>
      </c>
      <c r="B20" s="45" t="s">
        <v>188</v>
      </c>
      <c r="C20" s="45" t="s">
        <v>189</v>
      </c>
      <c r="D20" s="44">
        <v>9.1300000000000008</v>
      </c>
      <c r="F20" s="54" t="s">
        <v>290</v>
      </c>
      <c r="G20" s="49">
        <v>584</v>
      </c>
    </row>
    <row r="21" spans="1:7" x14ac:dyDescent="0.25">
      <c r="A21" s="45">
        <v>42225</v>
      </c>
      <c r="B21" s="45" t="s">
        <v>239</v>
      </c>
      <c r="C21" s="45" t="s">
        <v>240</v>
      </c>
      <c r="D21" s="44">
        <v>32.07</v>
      </c>
      <c r="F21" s="49" t="s">
        <v>320</v>
      </c>
      <c r="G21" s="49">
        <v>719</v>
      </c>
    </row>
    <row r="22" spans="1:7" x14ac:dyDescent="0.25">
      <c r="A22" s="45">
        <v>42117</v>
      </c>
      <c r="B22" s="45" t="s">
        <v>197</v>
      </c>
      <c r="C22" s="45" t="s">
        <v>198</v>
      </c>
      <c r="D22" s="44">
        <v>62.83</v>
      </c>
      <c r="F22" s="49" t="s">
        <v>295</v>
      </c>
      <c r="G22" s="49">
        <v>746</v>
      </c>
    </row>
    <row r="23" spans="1:7" x14ac:dyDescent="0.25">
      <c r="A23" s="45">
        <v>42109</v>
      </c>
      <c r="B23" s="45" t="s">
        <v>184</v>
      </c>
      <c r="C23" s="45" t="s">
        <v>185</v>
      </c>
      <c r="D23" s="44">
        <v>15.98</v>
      </c>
      <c r="F23" s="49" t="s">
        <v>288</v>
      </c>
      <c r="G23" s="49">
        <v>778</v>
      </c>
    </row>
    <row r="24" spans="1:7" x14ac:dyDescent="0.25">
      <c r="A24" s="45">
        <v>42212</v>
      </c>
      <c r="B24" s="45" t="s">
        <v>219</v>
      </c>
      <c r="C24" s="45" t="s">
        <v>220</v>
      </c>
      <c r="D24" s="44">
        <v>35.71</v>
      </c>
      <c r="F24" s="49" t="s">
        <v>307</v>
      </c>
      <c r="G24" s="49">
        <v>810</v>
      </c>
    </row>
    <row r="25" spans="1:7" x14ac:dyDescent="0.25">
      <c r="A25" s="45">
        <v>25401</v>
      </c>
      <c r="B25" s="45" t="s">
        <v>144</v>
      </c>
      <c r="C25" s="45" t="s">
        <v>145</v>
      </c>
      <c r="D25" s="44">
        <v>18.010000000000002</v>
      </c>
      <c r="F25" s="49" t="s">
        <v>264</v>
      </c>
      <c r="G25" s="52">
        <v>898</v>
      </c>
    </row>
    <row r="26" spans="1:7" x14ac:dyDescent="0.25">
      <c r="A26" s="45">
        <v>41302</v>
      </c>
      <c r="B26" s="45" t="s">
        <v>171</v>
      </c>
      <c r="C26" s="45" t="s">
        <v>172</v>
      </c>
      <c r="D26" s="44">
        <v>14.2</v>
      </c>
      <c r="F26" s="49" t="s">
        <v>280</v>
      </c>
      <c r="G26" s="49">
        <v>911</v>
      </c>
    </row>
    <row r="27" spans="1:7" x14ac:dyDescent="0.25">
      <c r="A27" s="45">
        <v>22404</v>
      </c>
      <c r="B27" s="45" t="s">
        <v>136</v>
      </c>
      <c r="C27" s="45" t="s">
        <v>137</v>
      </c>
      <c r="D27" s="44">
        <v>19.850000000000001</v>
      </c>
      <c r="F27" s="49" t="s">
        <v>260</v>
      </c>
      <c r="G27" s="49">
        <v>926</v>
      </c>
    </row>
    <row r="28" spans="1:7" x14ac:dyDescent="0.25">
      <c r="A28" s="45">
        <v>42112</v>
      </c>
      <c r="B28" s="45" t="s">
        <v>190</v>
      </c>
      <c r="C28" s="45" t="s">
        <v>191</v>
      </c>
      <c r="D28" s="44">
        <v>41.4</v>
      </c>
      <c r="F28" s="49" t="s">
        <v>291</v>
      </c>
      <c r="G28" s="49">
        <v>1048</v>
      </c>
    </row>
    <row r="29" spans="1:7" x14ac:dyDescent="0.25">
      <c r="A29" s="45">
        <v>30001</v>
      </c>
      <c r="B29" s="45" t="s">
        <v>146</v>
      </c>
      <c r="C29" s="45" t="s">
        <v>147</v>
      </c>
      <c r="D29" s="44">
        <v>11.69</v>
      </c>
      <c r="F29" s="49" t="s">
        <v>265</v>
      </c>
      <c r="G29" s="49">
        <v>1131</v>
      </c>
    </row>
    <row r="30" spans="1:7" x14ac:dyDescent="0.25">
      <c r="A30" s="45">
        <v>42107</v>
      </c>
      <c r="B30" s="45" t="s">
        <v>181</v>
      </c>
      <c r="C30" s="45" t="s">
        <v>182</v>
      </c>
      <c r="D30" s="44">
        <v>65.98</v>
      </c>
      <c r="F30" s="49" t="s">
        <v>286</v>
      </c>
      <c r="G30" s="49">
        <v>1223</v>
      </c>
    </row>
    <row r="31" spans="1:7" x14ac:dyDescent="0.25">
      <c r="A31" s="45">
        <v>42219</v>
      </c>
      <c r="B31" s="45" t="s">
        <v>229</v>
      </c>
      <c r="C31" s="45" t="s">
        <v>230</v>
      </c>
      <c r="D31" s="44">
        <v>73.23</v>
      </c>
      <c r="F31" s="49" t="s">
        <v>314</v>
      </c>
      <c r="G31" s="49">
        <v>1241</v>
      </c>
    </row>
    <row r="32" spans="1:7" x14ac:dyDescent="0.25">
      <c r="A32" s="45">
        <v>42204</v>
      </c>
      <c r="B32" s="45" t="s">
        <v>206</v>
      </c>
      <c r="C32" s="45" t="s">
        <v>207</v>
      </c>
      <c r="D32" s="44">
        <v>34.83</v>
      </c>
      <c r="F32" s="49" t="s">
        <v>300</v>
      </c>
      <c r="G32" s="49">
        <v>1265</v>
      </c>
    </row>
    <row r="33" spans="1:7" x14ac:dyDescent="0.25">
      <c r="A33" s="45">
        <v>41202</v>
      </c>
      <c r="B33" s="45" t="s">
        <v>167</v>
      </c>
      <c r="C33" s="45" t="s">
        <v>168</v>
      </c>
      <c r="D33" s="44">
        <v>30.27</v>
      </c>
      <c r="F33" s="49" t="s">
        <v>277</v>
      </c>
      <c r="G33" s="49">
        <v>1343</v>
      </c>
    </row>
    <row r="34" spans="1:7" x14ac:dyDescent="0.25">
      <c r="A34" s="45">
        <v>42103</v>
      </c>
      <c r="B34" s="45" t="s">
        <v>177</v>
      </c>
      <c r="C34" s="45" t="s">
        <v>178</v>
      </c>
      <c r="D34" s="44">
        <v>96.85</v>
      </c>
      <c r="F34" s="49" t="s">
        <v>283</v>
      </c>
      <c r="G34" s="49">
        <v>1376</v>
      </c>
    </row>
    <row r="35" spans="1:7" x14ac:dyDescent="0.25">
      <c r="A35" s="45">
        <v>42214</v>
      </c>
      <c r="B35" s="45" t="s">
        <v>223</v>
      </c>
      <c r="C35" s="45" t="s">
        <v>224</v>
      </c>
      <c r="D35" s="44">
        <v>99.26</v>
      </c>
      <c r="F35" s="49" t="s">
        <v>309</v>
      </c>
      <c r="G35" s="49">
        <v>1568</v>
      </c>
    </row>
    <row r="36" spans="1:7" x14ac:dyDescent="0.25">
      <c r="A36" s="45">
        <v>42201</v>
      </c>
      <c r="B36" s="45" t="s">
        <v>201</v>
      </c>
      <c r="C36" s="45" t="s">
        <v>202</v>
      </c>
      <c r="D36" s="44">
        <v>120.67</v>
      </c>
      <c r="F36" s="49" t="s">
        <v>297</v>
      </c>
      <c r="G36" s="49">
        <v>1961</v>
      </c>
    </row>
    <row r="37" spans="1:7" x14ac:dyDescent="0.25">
      <c r="A37" s="45">
        <v>30009</v>
      </c>
      <c r="B37" s="45" t="s">
        <v>160</v>
      </c>
      <c r="C37" s="45" t="s">
        <v>161</v>
      </c>
      <c r="D37" s="44">
        <v>49.59</v>
      </c>
      <c r="F37" s="49" t="s">
        <v>272</v>
      </c>
      <c r="G37" s="52">
        <v>2070</v>
      </c>
    </row>
    <row r="38" spans="1:7" x14ac:dyDescent="0.25">
      <c r="A38" s="45">
        <v>42210</v>
      </c>
      <c r="B38" s="45" t="s">
        <v>215</v>
      </c>
      <c r="C38" s="45" t="s">
        <v>216</v>
      </c>
      <c r="D38" s="44">
        <v>107.8</v>
      </c>
      <c r="F38" s="49" t="s">
        <v>305</v>
      </c>
      <c r="G38" s="49">
        <v>2299</v>
      </c>
    </row>
    <row r="39" spans="1:7" x14ac:dyDescent="0.25">
      <c r="A39" s="45">
        <v>42211</v>
      </c>
      <c r="B39" s="45" t="s">
        <v>217</v>
      </c>
      <c r="C39" s="45" t="s">
        <v>218</v>
      </c>
      <c r="D39" s="44">
        <v>103.58</v>
      </c>
      <c r="F39" s="49" t="s">
        <v>306</v>
      </c>
      <c r="G39" s="49">
        <v>2335</v>
      </c>
    </row>
    <row r="40" spans="1:7" x14ac:dyDescent="0.25">
      <c r="A40" s="45">
        <v>22306</v>
      </c>
      <c r="B40" s="45" t="s">
        <v>129</v>
      </c>
      <c r="C40" s="45" t="s">
        <v>130</v>
      </c>
      <c r="D40" s="44">
        <v>25.32</v>
      </c>
      <c r="F40" s="49" t="s">
        <v>256</v>
      </c>
      <c r="G40" s="52">
        <v>2466</v>
      </c>
    </row>
    <row r="41" spans="1:7" x14ac:dyDescent="0.25">
      <c r="A41" s="45">
        <v>11101</v>
      </c>
      <c r="B41" s="46" t="s">
        <v>107</v>
      </c>
      <c r="C41" s="45" t="s">
        <v>108</v>
      </c>
      <c r="D41" s="44">
        <v>177.98</v>
      </c>
      <c r="F41" s="49" t="s">
        <v>243</v>
      </c>
      <c r="G41" s="37">
        <v>2596</v>
      </c>
    </row>
    <row r="42" spans="1:7" x14ac:dyDescent="0.25">
      <c r="A42" s="45">
        <v>42115</v>
      </c>
      <c r="B42" s="45" t="s">
        <v>195</v>
      </c>
      <c r="C42" s="45" t="s">
        <v>196</v>
      </c>
      <c r="D42" s="44">
        <v>58.1</v>
      </c>
      <c r="F42" s="49" t="s">
        <v>294</v>
      </c>
      <c r="G42" s="49">
        <v>2603</v>
      </c>
    </row>
    <row r="43" spans="1:7" x14ac:dyDescent="0.25">
      <c r="A43" s="45">
        <v>42222</v>
      </c>
      <c r="B43" s="45" t="s">
        <v>235</v>
      </c>
      <c r="C43" s="45" t="s">
        <v>236</v>
      </c>
      <c r="D43" s="44">
        <v>73.180000000000007</v>
      </c>
      <c r="F43" s="49" t="s">
        <v>317</v>
      </c>
      <c r="G43" s="49">
        <v>2777</v>
      </c>
    </row>
    <row r="44" spans="1:7" x14ac:dyDescent="0.25">
      <c r="A44" s="45">
        <v>22201</v>
      </c>
      <c r="B44" s="45" t="s">
        <v>119</v>
      </c>
      <c r="C44" s="45" t="s">
        <v>77</v>
      </c>
      <c r="D44" s="44">
        <v>96.26</v>
      </c>
      <c r="F44" s="49" t="s">
        <v>250</v>
      </c>
      <c r="G44" s="37">
        <v>2862</v>
      </c>
    </row>
    <row r="45" spans="1:7" x14ac:dyDescent="0.25">
      <c r="A45" s="45">
        <v>24202</v>
      </c>
      <c r="B45" s="45" t="s">
        <v>140</v>
      </c>
      <c r="C45" s="45" t="s">
        <v>141</v>
      </c>
      <c r="D45" s="44">
        <v>209.5</v>
      </c>
      <c r="F45" s="49" t="s">
        <v>262</v>
      </c>
      <c r="G45" s="49">
        <v>3052</v>
      </c>
    </row>
    <row r="46" spans="1:7" x14ac:dyDescent="0.25">
      <c r="A46" s="45">
        <v>14301</v>
      </c>
      <c r="B46" s="45" t="s">
        <v>112</v>
      </c>
      <c r="C46" s="45" t="s">
        <v>113</v>
      </c>
      <c r="D46" s="44">
        <v>64.47</v>
      </c>
      <c r="F46" s="49" t="s">
        <v>246</v>
      </c>
      <c r="G46" s="37">
        <v>3138</v>
      </c>
    </row>
    <row r="47" spans="1:7" x14ac:dyDescent="0.25">
      <c r="A47" s="45">
        <v>30005</v>
      </c>
      <c r="B47" s="45" t="s">
        <v>154</v>
      </c>
      <c r="C47" s="45" t="s">
        <v>155</v>
      </c>
      <c r="D47" s="44">
        <v>22.65</v>
      </c>
      <c r="F47" s="49" t="s">
        <v>269</v>
      </c>
      <c r="G47" s="49">
        <v>3261</v>
      </c>
    </row>
    <row r="48" spans="1:7" x14ac:dyDescent="0.25">
      <c r="A48" s="45">
        <v>42113</v>
      </c>
      <c r="B48" s="45" t="s">
        <v>192</v>
      </c>
      <c r="C48" s="45" t="s">
        <v>193</v>
      </c>
      <c r="D48" s="44">
        <v>34.049999999999997</v>
      </c>
      <c r="F48" s="49" t="s">
        <v>292</v>
      </c>
      <c r="G48" s="52">
        <v>3283</v>
      </c>
    </row>
    <row r="49" spans="1:7" ht="14.65" customHeight="1" x14ac:dyDescent="0.25">
      <c r="A49" s="45">
        <v>30004</v>
      </c>
      <c r="B49" s="45" t="s">
        <v>152</v>
      </c>
      <c r="C49" s="45" t="s">
        <v>153</v>
      </c>
      <c r="D49" s="44">
        <v>277.97000000000003</v>
      </c>
      <c r="F49" s="49" t="s">
        <v>268</v>
      </c>
      <c r="G49" s="49">
        <v>3605</v>
      </c>
    </row>
    <row r="50" spans="1:7" x14ac:dyDescent="0.25">
      <c r="A50" s="45">
        <v>30007</v>
      </c>
      <c r="B50" s="45" t="s">
        <v>158</v>
      </c>
      <c r="C50" s="45" t="s">
        <v>159</v>
      </c>
      <c r="D50" s="44">
        <v>22.23</v>
      </c>
      <c r="F50" s="49" t="s">
        <v>271</v>
      </c>
      <c r="G50" s="49">
        <v>3748</v>
      </c>
    </row>
    <row r="51" spans="1:7" x14ac:dyDescent="0.25">
      <c r="A51" s="45">
        <v>14304</v>
      </c>
      <c r="B51" s="45" t="s">
        <v>116</v>
      </c>
      <c r="C51" s="45" t="s">
        <v>117</v>
      </c>
      <c r="D51" s="44">
        <v>95.48</v>
      </c>
      <c r="F51" s="49" t="s">
        <v>248</v>
      </c>
      <c r="G51" s="37">
        <v>4518</v>
      </c>
    </row>
    <row r="52" spans="1:7" x14ac:dyDescent="0.25">
      <c r="A52" s="45">
        <v>42215</v>
      </c>
      <c r="B52" s="45" t="s">
        <v>225</v>
      </c>
      <c r="C52" s="45" t="s">
        <v>92</v>
      </c>
      <c r="D52" s="44">
        <v>150.6</v>
      </c>
      <c r="F52" s="49" t="s">
        <v>310</v>
      </c>
      <c r="G52" s="37">
        <v>5302</v>
      </c>
    </row>
    <row r="53" spans="1:7" x14ac:dyDescent="0.25">
      <c r="A53" s="45">
        <v>14303</v>
      </c>
      <c r="B53" s="45" t="s">
        <v>114</v>
      </c>
      <c r="C53" s="45" t="s">
        <v>115</v>
      </c>
      <c r="D53" s="44">
        <v>47.94</v>
      </c>
      <c r="F53" s="49" t="s">
        <v>247</v>
      </c>
      <c r="G53" s="37">
        <v>5802</v>
      </c>
    </row>
    <row r="54" spans="1:7" x14ac:dyDescent="0.25">
      <c r="A54" s="45">
        <v>42106</v>
      </c>
      <c r="B54" s="45" t="s">
        <v>180</v>
      </c>
      <c r="C54" s="45" t="s">
        <v>89</v>
      </c>
      <c r="D54" s="44">
        <v>301.18</v>
      </c>
      <c r="F54" s="49" t="s">
        <v>285</v>
      </c>
      <c r="G54" s="49">
        <v>6567</v>
      </c>
    </row>
    <row r="55" spans="1:7" x14ac:dyDescent="0.25">
      <c r="A55" s="45">
        <v>42110</v>
      </c>
      <c r="B55" s="45" t="s">
        <v>186</v>
      </c>
      <c r="C55" s="45" t="s">
        <v>187</v>
      </c>
      <c r="D55" s="44">
        <v>52.95</v>
      </c>
      <c r="F55" s="49" t="s">
        <v>289</v>
      </c>
      <c r="G55" s="49">
        <v>7992</v>
      </c>
    </row>
    <row r="56" spans="1:7" x14ac:dyDescent="0.25">
      <c r="A56" s="45">
        <v>42203</v>
      </c>
      <c r="B56" s="45" t="s">
        <v>205</v>
      </c>
      <c r="C56" s="45" t="s">
        <v>86</v>
      </c>
      <c r="D56" s="44">
        <v>379.67</v>
      </c>
      <c r="F56" s="49" t="s">
        <v>299</v>
      </c>
      <c r="G56" s="49">
        <v>8826</v>
      </c>
    </row>
    <row r="57" spans="1:7" x14ac:dyDescent="0.25">
      <c r="A57" s="45">
        <v>41201</v>
      </c>
      <c r="B57" s="45" t="s">
        <v>166</v>
      </c>
      <c r="C57" s="45" t="s">
        <v>84</v>
      </c>
      <c r="D57" s="44">
        <v>255.28</v>
      </c>
      <c r="F57" s="49" t="s">
        <v>276</v>
      </c>
      <c r="G57" s="49">
        <v>8843</v>
      </c>
    </row>
    <row r="58" spans="1:7" x14ac:dyDescent="0.25">
      <c r="A58" s="45">
        <v>42224</v>
      </c>
      <c r="B58" s="45" t="s">
        <v>238</v>
      </c>
      <c r="C58" s="45" t="s">
        <v>97</v>
      </c>
      <c r="D58" s="44">
        <v>194.21</v>
      </c>
      <c r="F58" s="49" t="s">
        <v>319</v>
      </c>
      <c r="G58" s="49">
        <v>8934</v>
      </c>
    </row>
    <row r="59" spans="1:7" x14ac:dyDescent="0.25">
      <c r="A59" s="45">
        <v>42216</v>
      </c>
      <c r="B59" s="45" t="s">
        <v>226</v>
      </c>
      <c r="C59" s="45" t="s">
        <v>93</v>
      </c>
      <c r="D59" s="44">
        <v>85.48</v>
      </c>
      <c r="F59" s="49" t="s">
        <v>311</v>
      </c>
      <c r="G59" s="52">
        <v>10704</v>
      </c>
    </row>
    <row r="60" spans="1:7" x14ac:dyDescent="0.25">
      <c r="A60" s="45">
        <v>30002</v>
      </c>
      <c r="B60" s="45" t="s">
        <v>148</v>
      </c>
      <c r="C60" s="45" t="s">
        <v>149</v>
      </c>
      <c r="D60" s="44">
        <v>82.64</v>
      </c>
      <c r="F60" s="49" t="s">
        <v>266</v>
      </c>
      <c r="G60" s="49">
        <v>12911</v>
      </c>
    </row>
    <row r="61" spans="1:7" x14ac:dyDescent="0.25">
      <c r="A61" s="45">
        <v>11501</v>
      </c>
      <c r="B61" s="45" t="s">
        <v>109</v>
      </c>
      <c r="C61" s="45" t="s">
        <v>75</v>
      </c>
      <c r="D61" s="44">
        <v>378.85</v>
      </c>
      <c r="F61" s="49" t="s">
        <v>244</v>
      </c>
      <c r="G61" s="50">
        <v>13104</v>
      </c>
    </row>
    <row r="62" spans="1:7" x14ac:dyDescent="0.25">
      <c r="A62" s="45">
        <v>42218</v>
      </c>
      <c r="B62" s="45" t="s">
        <v>228</v>
      </c>
      <c r="C62" s="45" t="s">
        <v>95</v>
      </c>
      <c r="D62" s="44">
        <v>194.52</v>
      </c>
      <c r="F62" s="49" t="s">
        <v>313</v>
      </c>
      <c r="G62" s="49">
        <v>14520</v>
      </c>
    </row>
    <row r="63" spans="1:7" x14ac:dyDescent="0.25">
      <c r="A63" s="45">
        <v>42208</v>
      </c>
      <c r="B63" s="45" t="s">
        <v>212</v>
      </c>
      <c r="C63" s="45" t="s">
        <v>87</v>
      </c>
      <c r="D63" s="44">
        <v>75.790000000000006</v>
      </c>
      <c r="F63" s="49" t="s">
        <v>303</v>
      </c>
      <c r="G63" s="52">
        <f>15480</f>
        <v>15480</v>
      </c>
    </row>
    <row r="64" spans="1:7" x14ac:dyDescent="0.25">
      <c r="A64" s="45">
        <v>41103</v>
      </c>
      <c r="B64" s="45" t="s">
        <v>165</v>
      </c>
      <c r="C64" s="45" t="s">
        <v>82</v>
      </c>
      <c r="D64" s="44">
        <v>475.61</v>
      </c>
      <c r="F64" s="51" t="s">
        <v>275</v>
      </c>
      <c r="G64" s="49">
        <v>16411</v>
      </c>
    </row>
    <row r="65" spans="1:7" x14ac:dyDescent="0.25">
      <c r="A65" s="45">
        <v>42105</v>
      </c>
      <c r="B65" s="45" t="s">
        <v>179</v>
      </c>
      <c r="C65" s="45" t="s">
        <v>88</v>
      </c>
      <c r="D65" s="44">
        <v>110.88</v>
      </c>
      <c r="F65" s="49" t="s">
        <v>284</v>
      </c>
      <c r="G65" s="49">
        <v>17752</v>
      </c>
    </row>
    <row r="66" spans="1:7" x14ac:dyDescent="0.25">
      <c r="A66" s="45">
        <v>42217</v>
      </c>
      <c r="B66" s="45" t="s">
        <v>227</v>
      </c>
      <c r="C66" s="45" t="s">
        <v>94</v>
      </c>
      <c r="D66" s="44">
        <v>428.13</v>
      </c>
      <c r="F66" s="49" t="s">
        <v>312</v>
      </c>
      <c r="G66" s="49">
        <v>19597</v>
      </c>
    </row>
    <row r="67" spans="1:7" x14ac:dyDescent="0.25">
      <c r="A67" s="45">
        <v>42223</v>
      </c>
      <c r="B67" s="45" t="s">
        <v>237</v>
      </c>
      <c r="C67" s="45" t="s">
        <v>85</v>
      </c>
      <c r="D67" s="44">
        <v>83.63</v>
      </c>
      <c r="F67" s="49" t="s">
        <v>318</v>
      </c>
      <c r="G67" s="49">
        <v>21124</v>
      </c>
    </row>
    <row r="68" spans="1:7" x14ac:dyDescent="0.25">
      <c r="A68" s="45">
        <v>22403</v>
      </c>
      <c r="B68" s="45" t="s">
        <v>135</v>
      </c>
      <c r="C68" s="45" t="s">
        <v>40</v>
      </c>
      <c r="D68" s="44">
        <v>302.51</v>
      </c>
      <c r="F68" s="49" t="s">
        <v>259</v>
      </c>
      <c r="G68" s="49">
        <v>21518</v>
      </c>
    </row>
    <row r="69" spans="1:7" x14ac:dyDescent="0.25">
      <c r="A69" s="45">
        <v>41203</v>
      </c>
      <c r="B69" s="45" t="s">
        <v>169</v>
      </c>
      <c r="C69" s="45" t="s">
        <v>83</v>
      </c>
      <c r="D69" s="44">
        <v>476.2</v>
      </c>
      <c r="F69" s="49" t="s">
        <v>278</v>
      </c>
      <c r="G69" s="56">
        <v>32642</v>
      </c>
    </row>
    <row r="70" spans="1:7" x14ac:dyDescent="0.25">
      <c r="A70" s="45">
        <v>22202</v>
      </c>
      <c r="B70" s="45" t="s">
        <v>120</v>
      </c>
      <c r="C70" s="45" t="s">
        <v>121</v>
      </c>
      <c r="D70" s="44">
        <v>781.48</v>
      </c>
      <c r="F70" s="49" t="s">
        <v>251</v>
      </c>
      <c r="G70" s="37">
        <v>36064</v>
      </c>
    </row>
    <row r="71" spans="1:7" x14ac:dyDescent="0.25">
      <c r="A71" s="45">
        <v>42108</v>
      </c>
      <c r="B71" s="45" t="s">
        <v>183</v>
      </c>
      <c r="C71" s="45" t="s">
        <v>91</v>
      </c>
      <c r="D71" s="44">
        <v>290.27999999999997</v>
      </c>
      <c r="F71" s="49" t="s">
        <v>287</v>
      </c>
      <c r="G71" s="49">
        <v>37089</v>
      </c>
    </row>
    <row r="72" spans="1:7" x14ac:dyDescent="0.25">
      <c r="A72" s="45">
        <v>30006</v>
      </c>
      <c r="B72" s="45" t="s">
        <v>156</v>
      </c>
      <c r="C72" s="45" t="s">
        <v>157</v>
      </c>
      <c r="D72" s="44">
        <v>94.99</v>
      </c>
      <c r="F72" s="49" t="s">
        <v>270</v>
      </c>
      <c r="G72" s="49">
        <v>37220</v>
      </c>
    </row>
    <row r="73" spans="1:7" x14ac:dyDescent="0.25">
      <c r="A73" s="47">
        <v>22101</v>
      </c>
      <c r="B73" s="47" t="s">
        <v>118</v>
      </c>
      <c r="C73" s="47" t="s">
        <v>37</v>
      </c>
      <c r="D73" s="48">
        <v>402.08</v>
      </c>
      <c r="F73" s="49" t="s">
        <v>249</v>
      </c>
      <c r="G73" s="37">
        <v>41180</v>
      </c>
    </row>
    <row r="74" spans="1:7" x14ac:dyDescent="0.25">
      <c r="A74" s="45">
        <v>41301</v>
      </c>
      <c r="B74" s="45" t="s">
        <v>170</v>
      </c>
      <c r="C74" s="45" t="s">
        <v>36</v>
      </c>
      <c r="D74" s="44">
        <v>841.58</v>
      </c>
      <c r="F74" s="49" t="s">
        <v>279</v>
      </c>
      <c r="G74" s="49">
        <v>50361</v>
      </c>
    </row>
    <row r="75" spans="1:7" x14ac:dyDescent="0.25">
      <c r="A75" s="45">
        <v>41102</v>
      </c>
      <c r="B75" s="45" t="s">
        <v>164</v>
      </c>
      <c r="C75" s="45" t="s">
        <v>81</v>
      </c>
      <c r="D75" s="44">
        <v>1630.38</v>
      </c>
      <c r="F75" s="49" t="s">
        <v>274</v>
      </c>
      <c r="G75" s="49">
        <v>83755</v>
      </c>
    </row>
    <row r="76" spans="1:7" x14ac:dyDescent="0.25">
      <c r="A76" s="45">
        <v>22303</v>
      </c>
      <c r="B76" s="45" t="s">
        <v>124</v>
      </c>
      <c r="C76" s="45" t="s">
        <v>38</v>
      </c>
      <c r="D76" s="44">
        <v>592.08000000000004</v>
      </c>
      <c r="F76" s="49" t="s">
        <v>253</v>
      </c>
      <c r="G76" s="49">
        <v>98127</v>
      </c>
    </row>
    <row r="77" spans="1:7" x14ac:dyDescent="0.25">
      <c r="A77" s="45">
        <v>42114</v>
      </c>
      <c r="B77" s="45" t="s">
        <v>194</v>
      </c>
      <c r="C77" s="45" t="s">
        <v>96</v>
      </c>
      <c r="D77" s="44">
        <v>1398.08</v>
      </c>
      <c r="F77" s="49" t="s">
        <v>293</v>
      </c>
      <c r="G77" s="49">
        <v>125113</v>
      </c>
    </row>
    <row r="78" spans="1:7" x14ac:dyDescent="0.25">
      <c r="A78" s="45">
        <v>24201</v>
      </c>
      <c r="B78" s="45" t="s">
        <v>138</v>
      </c>
      <c r="C78" s="45" t="s">
        <v>139</v>
      </c>
      <c r="D78" s="44">
        <v>3655.08</v>
      </c>
      <c r="F78" s="49" t="s">
        <v>261</v>
      </c>
      <c r="G78" s="37">
        <f>210778-G79</f>
        <v>210778</v>
      </c>
    </row>
    <row r="79" spans="1:7" x14ac:dyDescent="0.25">
      <c r="A79" s="43">
        <v>0</v>
      </c>
      <c r="B79" s="43" t="s">
        <v>64</v>
      </c>
      <c r="C79" s="43" t="s">
        <v>106</v>
      </c>
      <c r="D79" s="44">
        <v>131957</v>
      </c>
    </row>
    <row r="80" spans="1:7" x14ac:dyDescent="0.25">
      <c r="F80" s="49" t="s">
        <v>321</v>
      </c>
    </row>
    <row r="81" spans="6:6" x14ac:dyDescent="0.25">
      <c r="F81" s="49" t="s">
        <v>322</v>
      </c>
    </row>
    <row r="82" spans="6:6" x14ac:dyDescent="0.25">
      <c r="F82" s="49" t="s">
        <v>323</v>
      </c>
    </row>
    <row r="83" spans="6:6" x14ac:dyDescent="0.25">
      <c r="F83" s="49" t="s">
        <v>324</v>
      </c>
    </row>
    <row r="84" spans="6:6" x14ac:dyDescent="0.25">
      <c r="F84" s="51" t="s">
        <v>325</v>
      </c>
    </row>
    <row r="85" spans="6:6" x14ac:dyDescent="0.25">
      <c r="F85" s="49" t="s">
        <v>326</v>
      </c>
    </row>
    <row r="86" spans="6:6" x14ac:dyDescent="0.25">
      <c r="F86" s="49" t="s">
        <v>327</v>
      </c>
    </row>
    <row r="87" spans="6:6" x14ac:dyDescent="0.25">
      <c r="F87" s="49" t="s">
        <v>328</v>
      </c>
    </row>
    <row r="88" spans="6:6" x14ac:dyDescent="0.25">
      <c r="F88" s="51" t="s">
        <v>329</v>
      </c>
    </row>
  </sheetData>
  <sortState xmlns:xlrd2="http://schemas.microsoft.com/office/spreadsheetml/2017/richdata2" ref="A1:G89">
    <sortCondition ref="G1:G89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5DBB55-F347-42A6-9593-82421461782D}">
  <dimension ref="B2:J43"/>
  <sheetViews>
    <sheetView topLeftCell="A32" workbookViewId="0">
      <selection activeCell="I36" sqref="I36"/>
    </sheetView>
  </sheetViews>
  <sheetFormatPr defaultRowHeight="15" x14ac:dyDescent="0.25"/>
  <cols>
    <col min="2" max="2" width="22.42578125" customWidth="1"/>
    <col min="3" max="3" width="15.42578125" customWidth="1"/>
    <col min="4" max="4" width="41.28515625" customWidth="1"/>
    <col min="6" max="6" width="22.7109375" customWidth="1"/>
    <col min="7" max="7" width="13.42578125" customWidth="1"/>
    <col min="9" max="10" width="13.7109375" customWidth="1"/>
  </cols>
  <sheetData>
    <row r="2" spans="2:4" x14ac:dyDescent="0.25">
      <c r="B2" s="60" t="s">
        <v>332</v>
      </c>
      <c r="C2" s="60" t="s">
        <v>74</v>
      </c>
      <c r="D2" s="60" t="s">
        <v>333</v>
      </c>
    </row>
    <row r="3" spans="2:4" ht="30" x14ac:dyDescent="0.25">
      <c r="B3" s="61" t="s">
        <v>334</v>
      </c>
      <c r="C3" s="61" t="s">
        <v>335</v>
      </c>
      <c r="D3" s="60" t="s">
        <v>108</v>
      </c>
    </row>
    <row r="4" spans="2:4" x14ac:dyDescent="0.25">
      <c r="B4" s="60"/>
      <c r="C4" s="60" t="s">
        <v>75</v>
      </c>
      <c r="D4" s="60" t="s">
        <v>75</v>
      </c>
    </row>
    <row r="5" spans="2:4" x14ac:dyDescent="0.25">
      <c r="B5" s="61" t="s">
        <v>336</v>
      </c>
      <c r="C5" s="61" t="s">
        <v>337</v>
      </c>
      <c r="D5" s="60" t="s">
        <v>111</v>
      </c>
    </row>
    <row r="6" spans="2:4" x14ac:dyDescent="0.25">
      <c r="B6" s="61" t="s">
        <v>338</v>
      </c>
      <c r="C6" s="60" t="s">
        <v>339</v>
      </c>
      <c r="D6" s="60" t="s">
        <v>340</v>
      </c>
    </row>
    <row r="7" spans="2:4" x14ac:dyDescent="0.25">
      <c r="B7" s="60" t="s">
        <v>341</v>
      </c>
      <c r="C7" s="60" t="s">
        <v>37</v>
      </c>
      <c r="D7" s="60" t="s">
        <v>37</v>
      </c>
    </row>
    <row r="8" spans="2:4" x14ac:dyDescent="0.25">
      <c r="B8" s="60"/>
      <c r="C8" s="60" t="s">
        <v>342</v>
      </c>
      <c r="D8" s="60" t="s">
        <v>342</v>
      </c>
    </row>
    <row r="9" spans="2:4" x14ac:dyDescent="0.25">
      <c r="B9" s="60"/>
      <c r="C9" s="60" t="s">
        <v>77</v>
      </c>
      <c r="D9" s="60" t="s">
        <v>77</v>
      </c>
    </row>
    <row r="10" spans="2:4" x14ac:dyDescent="0.25">
      <c r="B10" s="60"/>
      <c r="C10" s="60" t="s">
        <v>38</v>
      </c>
      <c r="D10" s="60" t="s">
        <v>343</v>
      </c>
    </row>
    <row r="11" spans="2:4" x14ac:dyDescent="0.25">
      <c r="B11" s="60"/>
      <c r="C11" s="60" t="s">
        <v>40</v>
      </c>
      <c r="D11" s="60" t="s">
        <v>344</v>
      </c>
    </row>
    <row r="12" spans="2:4" x14ac:dyDescent="0.25">
      <c r="B12" s="61" t="s">
        <v>345</v>
      </c>
      <c r="C12" s="61" t="s">
        <v>139</v>
      </c>
      <c r="D12" s="60" t="s">
        <v>141</v>
      </c>
    </row>
    <row r="13" spans="2:4" x14ac:dyDescent="0.25">
      <c r="B13" s="60"/>
      <c r="C13" s="62" t="s">
        <v>346</v>
      </c>
      <c r="D13" s="60" t="s">
        <v>143</v>
      </c>
    </row>
    <row r="14" spans="2:4" x14ac:dyDescent="0.25">
      <c r="B14" s="61" t="s">
        <v>347</v>
      </c>
      <c r="C14" s="61" t="s">
        <v>348</v>
      </c>
      <c r="D14" s="60" t="s">
        <v>349</v>
      </c>
    </row>
    <row r="15" spans="2:4" ht="30" x14ac:dyDescent="0.25">
      <c r="B15" s="61" t="s">
        <v>350</v>
      </c>
      <c r="C15" s="60" t="s">
        <v>351</v>
      </c>
      <c r="D15" s="60" t="s">
        <v>352</v>
      </c>
    </row>
    <row r="16" spans="2:4" x14ac:dyDescent="0.25">
      <c r="B16" s="63" t="s">
        <v>377</v>
      </c>
      <c r="C16" s="60" t="s">
        <v>81</v>
      </c>
      <c r="D16" s="60" t="s">
        <v>81</v>
      </c>
    </row>
    <row r="17" spans="2:4" x14ac:dyDescent="0.25">
      <c r="B17" s="60"/>
      <c r="C17" s="60" t="s">
        <v>82</v>
      </c>
      <c r="D17" s="60" t="s">
        <v>353</v>
      </c>
    </row>
    <row r="18" spans="2:4" x14ac:dyDescent="0.25">
      <c r="B18" s="60"/>
      <c r="C18" s="60" t="s">
        <v>36</v>
      </c>
      <c r="D18" s="60" t="s">
        <v>354</v>
      </c>
    </row>
    <row r="19" spans="2:4" x14ac:dyDescent="0.25">
      <c r="B19" s="60"/>
      <c r="C19" s="60" t="s">
        <v>83</v>
      </c>
      <c r="D19" s="60" t="s">
        <v>83</v>
      </c>
    </row>
    <row r="20" spans="2:4" x14ac:dyDescent="0.25">
      <c r="B20" s="60"/>
      <c r="C20" s="60" t="s">
        <v>84</v>
      </c>
      <c r="D20" s="60" t="s">
        <v>355</v>
      </c>
    </row>
    <row r="21" spans="2:4" ht="45" x14ac:dyDescent="0.25">
      <c r="B21" s="60" t="s">
        <v>356</v>
      </c>
      <c r="C21" s="60" t="s">
        <v>88</v>
      </c>
      <c r="D21" s="60" t="s">
        <v>357</v>
      </c>
    </row>
    <row r="22" spans="2:4" x14ac:dyDescent="0.25">
      <c r="B22" s="60"/>
      <c r="C22" s="60" t="s">
        <v>91</v>
      </c>
      <c r="D22" s="60" t="s">
        <v>358</v>
      </c>
    </row>
    <row r="23" spans="2:4" x14ac:dyDescent="0.25">
      <c r="B23" s="60"/>
      <c r="C23" s="60" t="s">
        <v>96</v>
      </c>
      <c r="D23" s="60" t="s">
        <v>359</v>
      </c>
    </row>
    <row r="24" spans="2:4" x14ac:dyDescent="0.25">
      <c r="B24" s="60"/>
      <c r="C24" s="60" t="s">
        <v>89</v>
      </c>
      <c r="D24" s="60" t="s">
        <v>360</v>
      </c>
    </row>
    <row r="25" spans="2:4" x14ac:dyDescent="0.25">
      <c r="B25" s="60"/>
      <c r="C25" s="60" t="s">
        <v>85</v>
      </c>
      <c r="D25" s="60" t="s">
        <v>361</v>
      </c>
    </row>
    <row r="26" spans="2:4" x14ac:dyDescent="0.25">
      <c r="B26" s="60"/>
      <c r="C26" s="60" t="s">
        <v>86</v>
      </c>
      <c r="D26" s="60" t="s">
        <v>86</v>
      </c>
    </row>
    <row r="27" spans="2:4" x14ac:dyDescent="0.25">
      <c r="B27" s="60"/>
      <c r="C27" s="60" t="s">
        <v>92</v>
      </c>
      <c r="D27" s="60" t="s">
        <v>362</v>
      </c>
    </row>
    <row r="28" spans="2:4" ht="30" x14ac:dyDescent="0.25">
      <c r="B28" s="60"/>
      <c r="C28" s="60" t="s">
        <v>87</v>
      </c>
      <c r="D28" s="60" t="s">
        <v>363</v>
      </c>
    </row>
    <row r="29" spans="2:4" ht="30" x14ac:dyDescent="0.25">
      <c r="B29" s="60"/>
      <c r="C29" s="60" t="s">
        <v>94</v>
      </c>
      <c r="D29" s="60" t="s">
        <v>364</v>
      </c>
    </row>
    <row r="30" spans="2:4" x14ac:dyDescent="0.25">
      <c r="B30" s="60"/>
      <c r="C30" s="60" t="s">
        <v>95</v>
      </c>
      <c r="D30" s="60" t="s">
        <v>365</v>
      </c>
    </row>
    <row r="31" spans="2:4" x14ac:dyDescent="0.25">
      <c r="B31" s="60"/>
      <c r="C31" s="60" t="s">
        <v>93</v>
      </c>
      <c r="D31" s="60" t="s">
        <v>93</v>
      </c>
    </row>
    <row r="32" spans="2:4" x14ac:dyDescent="0.25">
      <c r="B32" s="60"/>
      <c r="C32" s="60" t="s">
        <v>97</v>
      </c>
      <c r="D32" s="60" t="s">
        <v>97</v>
      </c>
    </row>
    <row r="33" spans="2:10" x14ac:dyDescent="0.25">
      <c r="B33" s="60"/>
      <c r="C33" s="60" t="s">
        <v>90</v>
      </c>
      <c r="D33" s="60" t="s">
        <v>366</v>
      </c>
    </row>
    <row r="34" spans="2:10" x14ac:dyDescent="0.25">
      <c r="B34" s="64" t="s">
        <v>241</v>
      </c>
      <c r="C34" s="64"/>
      <c r="D34" s="64" t="s">
        <v>242</v>
      </c>
    </row>
    <row r="35" spans="2:10" ht="48" x14ac:dyDescent="0.25">
      <c r="E35" s="65"/>
      <c r="F35" s="65" t="s">
        <v>65</v>
      </c>
      <c r="G35" s="65" t="s">
        <v>66</v>
      </c>
      <c r="H35" s="65" t="s">
        <v>67</v>
      </c>
      <c r="I35" s="65" t="s">
        <v>68</v>
      </c>
      <c r="J35" s="65" t="s">
        <v>69</v>
      </c>
    </row>
    <row r="36" spans="2:10" ht="120" x14ac:dyDescent="0.25">
      <c r="E36" s="65" t="s">
        <v>330</v>
      </c>
      <c r="F36" s="65" t="s">
        <v>367</v>
      </c>
      <c r="G36" s="65" t="s">
        <v>368</v>
      </c>
      <c r="H36" s="65"/>
      <c r="I36" s="65" t="s">
        <v>159</v>
      </c>
      <c r="J36" s="65"/>
    </row>
    <row r="37" spans="2:10" ht="72" x14ac:dyDescent="0.25">
      <c r="E37" s="65" t="s">
        <v>331</v>
      </c>
      <c r="F37" s="65" t="s">
        <v>369</v>
      </c>
      <c r="G37" s="65" t="s">
        <v>370</v>
      </c>
      <c r="H37" s="65" t="s">
        <v>77</v>
      </c>
      <c r="I37" s="65" t="s">
        <v>371</v>
      </c>
      <c r="J37" s="65" t="s">
        <v>372</v>
      </c>
    </row>
    <row r="38" spans="2:10" ht="84" x14ac:dyDescent="0.25">
      <c r="E38" s="65" t="s">
        <v>70</v>
      </c>
      <c r="F38" s="65"/>
      <c r="G38" s="65" t="s">
        <v>373</v>
      </c>
      <c r="H38" s="65" t="s">
        <v>218</v>
      </c>
      <c r="I38" s="65" t="s">
        <v>374</v>
      </c>
      <c r="J38" s="65" t="s">
        <v>375</v>
      </c>
    </row>
    <row r="39" spans="2:10" ht="54" x14ac:dyDescent="0.25">
      <c r="E39" s="65" t="s">
        <v>71</v>
      </c>
      <c r="F39" s="65"/>
      <c r="G39" s="65"/>
      <c r="H39" s="65"/>
      <c r="I39" s="65"/>
      <c r="J39" s="66" t="s">
        <v>376</v>
      </c>
    </row>
    <row r="40" spans="2:10" x14ac:dyDescent="0.25">
      <c r="J40" s="45"/>
    </row>
    <row r="41" spans="2:10" x14ac:dyDescent="0.25">
      <c r="J41" s="45"/>
    </row>
    <row r="42" spans="2:10" x14ac:dyDescent="0.25">
      <c r="J42" s="45"/>
    </row>
    <row r="43" spans="2:10" x14ac:dyDescent="0.25">
      <c r="J43" s="45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F1601E-0873-4907-B5CB-4B411DFCAEC0}">
  <dimension ref="A1:H28"/>
  <sheetViews>
    <sheetView workbookViewId="0">
      <selection activeCell="I18" sqref="I18"/>
    </sheetView>
  </sheetViews>
  <sheetFormatPr defaultRowHeight="15" x14ac:dyDescent="0.25"/>
  <sheetData>
    <row r="1" spans="1:8" ht="36" x14ac:dyDescent="0.25">
      <c r="B1" s="1" t="s">
        <v>30</v>
      </c>
      <c r="C1" s="1" t="s">
        <v>27</v>
      </c>
      <c r="D1" s="1" t="s">
        <v>31</v>
      </c>
      <c r="E1" s="1" t="s">
        <v>29</v>
      </c>
      <c r="F1" s="3" t="s">
        <v>28</v>
      </c>
      <c r="G1" s="3" t="s">
        <v>32</v>
      </c>
      <c r="H1" s="3" t="s">
        <v>33</v>
      </c>
    </row>
    <row r="2" spans="1:8" x14ac:dyDescent="0.25">
      <c r="A2" t="s">
        <v>0</v>
      </c>
      <c r="B2" s="2">
        <v>211</v>
      </c>
      <c r="C2" s="2">
        <v>489</v>
      </c>
      <c r="D2" s="2">
        <v>-278</v>
      </c>
      <c r="E2" s="2">
        <v>3231</v>
      </c>
      <c r="F2" s="4">
        <v>2862</v>
      </c>
      <c r="G2">
        <f t="shared" ref="G2:G28" si="0">F2-E2</f>
        <v>-369</v>
      </c>
      <c r="H2" s="8">
        <f t="shared" ref="H2:H28" si="1">(D2/F2)*100</f>
        <v>-9.7134870719776369</v>
      </c>
    </row>
    <row r="3" spans="1:8" x14ac:dyDescent="0.25">
      <c r="A3" t="s">
        <v>1</v>
      </c>
      <c r="B3" s="2">
        <v>5616</v>
      </c>
      <c r="C3" s="2">
        <v>10687</v>
      </c>
      <c r="D3" s="2">
        <v>-5071</v>
      </c>
      <c r="E3" s="2">
        <v>74651</v>
      </c>
      <c r="F3" s="4">
        <v>63985</v>
      </c>
      <c r="G3">
        <f t="shared" si="0"/>
        <v>-10666</v>
      </c>
      <c r="H3" s="8">
        <f t="shared" si="1"/>
        <v>-7.9252949910135193</v>
      </c>
    </row>
    <row r="4" spans="1:8" x14ac:dyDescent="0.25">
      <c r="A4" t="s">
        <v>2</v>
      </c>
      <c r="B4" s="2">
        <v>1129</v>
      </c>
      <c r="C4" s="2">
        <v>2053</v>
      </c>
      <c r="D4" s="2">
        <v>-924</v>
      </c>
      <c r="E4" s="2">
        <v>13770</v>
      </c>
      <c r="F4" s="4">
        <v>13104</v>
      </c>
      <c r="G4">
        <f t="shared" si="0"/>
        <v>-666</v>
      </c>
      <c r="H4" s="8">
        <f t="shared" si="1"/>
        <v>-7.0512820512820511</v>
      </c>
    </row>
    <row r="5" spans="1:8" x14ac:dyDescent="0.25">
      <c r="A5" t="s">
        <v>3</v>
      </c>
      <c r="B5" s="2">
        <v>2222</v>
      </c>
      <c r="C5" s="2">
        <v>3601</v>
      </c>
      <c r="D5" s="2">
        <v>-1379</v>
      </c>
      <c r="E5" s="2">
        <v>23693</v>
      </c>
      <c r="F5" s="4">
        <v>22826</v>
      </c>
      <c r="G5">
        <f t="shared" si="0"/>
        <v>-867</v>
      </c>
      <c r="H5" s="8">
        <f t="shared" si="1"/>
        <v>-6.0413563480241832</v>
      </c>
    </row>
    <row r="6" spans="1:8" x14ac:dyDescent="0.25">
      <c r="A6" t="s">
        <v>4</v>
      </c>
      <c r="B6" s="2">
        <v>1732</v>
      </c>
      <c r="C6" s="2">
        <v>2834</v>
      </c>
      <c r="D6" s="2">
        <v>-1102</v>
      </c>
      <c r="E6" s="2">
        <v>21507</v>
      </c>
      <c r="F6" s="4">
        <v>21124</v>
      </c>
      <c r="G6">
        <f t="shared" si="0"/>
        <v>-383</v>
      </c>
      <c r="H6" s="8">
        <f t="shared" si="1"/>
        <v>-5.2168149971596289</v>
      </c>
    </row>
    <row r="7" spans="1:8" x14ac:dyDescent="0.25">
      <c r="A7" t="s">
        <v>5</v>
      </c>
      <c r="B7" s="2">
        <v>9651</v>
      </c>
      <c r="C7" s="2">
        <v>14796</v>
      </c>
      <c r="D7" s="2">
        <v>-5145</v>
      </c>
      <c r="E7" s="2">
        <v>104371</v>
      </c>
      <c r="F7" s="4">
        <v>101600</v>
      </c>
      <c r="G7">
        <f t="shared" si="0"/>
        <v>-2771</v>
      </c>
      <c r="H7" s="8">
        <f t="shared" si="1"/>
        <v>-5.0639763779527556</v>
      </c>
    </row>
    <row r="8" spans="1:8" x14ac:dyDescent="0.25">
      <c r="A8" t="s">
        <v>6</v>
      </c>
      <c r="B8" s="2">
        <v>752</v>
      </c>
      <c r="C8" s="2">
        <v>1165</v>
      </c>
      <c r="D8" s="2">
        <v>-413</v>
      </c>
      <c r="E8" s="2">
        <v>9221</v>
      </c>
      <c r="F8" s="4">
        <v>8826</v>
      </c>
      <c r="G8">
        <f t="shared" si="0"/>
        <v>-395</v>
      </c>
      <c r="H8" s="8">
        <f t="shared" si="1"/>
        <v>-4.6793564468615454</v>
      </c>
    </row>
    <row r="9" spans="1:8" x14ac:dyDescent="0.25">
      <c r="A9" t="s">
        <v>7</v>
      </c>
      <c r="B9" s="2">
        <v>781</v>
      </c>
      <c r="C9" s="2">
        <v>1161</v>
      </c>
      <c r="D9" s="2">
        <v>-380</v>
      </c>
      <c r="E9" s="2">
        <v>8636</v>
      </c>
      <c r="F9" s="4">
        <v>8934</v>
      </c>
      <c r="G9">
        <f t="shared" si="0"/>
        <v>298</v>
      </c>
      <c r="H9" s="8">
        <f t="shared" si="1"/>
        <v>-4.253413924334005</v>
      </c>
    </row>
    <row r="10" spans="1:8" x14ac:dyDescent="0.25">
      <c r="A10" t="s">
        <v>8</v>
      </c>
      <c r="B10" s="2">
        <v>860</v>
      </c>
      <c r="C10" s="2">
        <v>1267</v>
      </c>
      <c r="D10" s="2">
        <v>-407</v>
      </c>
      <c r="E10" s="2">
        <v>9932</v>
      </c>
      <c r="F10" s="4">
        <v>10130</v>
      </c>
      <c r="G10">
        <f t="shared" si="0"/>
        <v>198</v>
      </c>
      <c r="H10" s="8">
        <f t="shared" si="1"/>
        <v>-4.0177690029615007</v>
      </c>
    </row>
    <row r="11" spans="1:8" x14ac:dyDescent="0.25">
      <c r="A11" t="s">
        <v>9</v>
      </c>
      <c r="B11" s="2">
        <v>1494</v>
      </c>
      <c r="C11" s="2">
        <v>2110</v>
      </c>
      <c r="D11" s="2">
        <v>-616</v>
      </c>
      <c r="E11" s="2">
        <v>17262</v>
      </c>
      <c r="F11" s="4">
        <v>16668</v>
      </c>
      <c r="G11">
        <f t="shared" si="0"/>
        <v>-594</v>
      </c>
      <c r="H11" s="8">
        <f t="shared" si="1"/>
        <v>-3.6957043436525074</v>
      </c>
    </row>
    <row r="12" spans="1:8" x14ac:dyDescent="0.25">
      <c r="A12" t="s">
        <v>12</v>
      </c>
      <c r="B12" s="2">
        <v>8919</v>
      </c>
      <c r="C12" s="2">
        <v>11964</v>
      </c>
      <c r="D12" s="2">
        <v>-3045</v>
      </c>
      <c r="E12" s="2">
        <v>86436</v>
      </c>
      <c r="F12" s="4">
        <v>83755</v>
      </c>
      <c r="G12">
        <f t="shared" si="0"/>
        <v>-2681</v>
      </c>
      <c r="H12" s="8">
        <f t="shared" si="1"/>
        <v>-3.6356038445465941</v>
      </c>
    </row>
    <row r="13" spans="1:8" x14ac:dyDescent="0.25">
      <c r="A13" t="s">
        <v>10</v>
      </c>
      <c r="B13" s="2">
        <v>3266</v>
      </c>
      <c r="C13" s="2">
        <v>4541</v>
      </c>
      <c r="D13" s="2">
        <v>-1275</v>
      </c>
      <c r="E13" s="2">
        <v>35801</v>
      </c>
      <c r="F13" s="4">
        <v>36064</v>
      </c>
      <c r="G13">
        <f t="shared" si="0"/>
        <v>263</v>
      </c>
      <c r="H13" s="8">
        <f t="shared" si="1"/>
        <v>-3.5353815439219165</v>
      </c>
    </row>
    <row r="14" spans="1:8" x14ac:dyDescent="0.25">
      <c r="A14" t="s">
        <v>13</v>
      </c>
      <c r="B14" s="2">
        <v>4839</v>
      </c>
      <c r="C14" s="2">
        <v>6573</v>
      </c>
      <c r="D14" s="2">
        <v>-1734</v>
      </c>
      <c r="E14" s="2">
        <v>52674</v>
      </c>
      <c r="F14" s="4">
        <v>51692</v>
      </c>
      <c r="G14">
        <f t="shared" si="0"/>
        <v>-982</v>
      </c>
      <c r="H14" s="8">
        <f t="shared" si="1"/>
        <v>-3.3544842528824579</v>
      </c>
    </row>
    <row r="15" spans="1:8" x14ac:dyDescent="0.25">
      <c r="A15" t="s">
        <v>11</v>
      </c>
      <c r="B15" s="2">
        <v>589</v>
      </c>
      <c r="C15" s="2">
        <v>847</v>
      </c>
      <c r="D15" s="2">
        <v>-258</v>
      </c>
      <c r="E15" s="2">
        <v>7310</v>
      </c>
      <c r="F15" s="4">
        <v>7790</v>
      </c>
      <c r="G15">
        <f t="shared" si="0"/>
        <v>480</v>
      </c>
      <c r="H15" s="8">
        <f t="shared" si="1"/>
        <v>-3.3119383825417201</v>
      </c>
    </row>
    <row r="16" spans="1:8" x14ac:dyDescent="0.25">
      <c r="A16" t="s">
        <v>14</v>
      </c>
      <c r="B16" s="2">
        <v>3355</v>
      </c>
      <c r="C16" s="2">
        <v>4396</v>
      </c>
      <c r="D16" s="2">
        <v>-1041</v>
      </c>
      <c r="E16" s="2">
        <v>32977</v>
      </c>
      <c r="F16" s="4">
        <v>32642</v>
      </c>
      <c r="G16">
        <f t="shared" si="0"/>
        <v>-335</v>
      </c>
      <c r="H16" s="8">
        <f t="shared" si="1"/>
        <v>-3.189142822130997</v>
      </c>
    </row>
    <row r="17" spans="1:8" x14ac:dyDescent="0.25">
      <c r="A17" s="5" t="s">
        <v>15</v>
      </c>
      <c r="B17" s="6">
        <v>1006686</v>
      </c>
      <c r="C17" s="6">
        <v>1338024</v>
      </c>
      <c r="D17" s="6">
        <v>-331338</v>
      </c>
      <c r="E17" s="6">
        <v>10816286</v>
      </c>
      <c r="F17" s="7">
        <v>10482487</v>
      </c>
      <c r="G17" s="5">
        <f t="shared" si="0"/>
        <v>-333799</v>
      </c>
      <c r="H17" s="9">
        <f t="shared" si="1"/>
        <v>-3.1608720335164735</v>
      </c>
    </row>
    <row r="18" spans="1:8" x14ac:dyDescent="0.25">
      <c r="A18" t="s">
        <v>16</v>
      </c>
      <c r="B18" s="2">
        <v>1139</v>
      </c>
      <c r="C18" s="2">
        <v>1420</v>
      </c>
      <c r="D18" s="2">
        <v>-281</v>
      </c>
      <c r="E18" s="2">
        <v>13798</v>
      </c>
      <c r="F18" s="4">
        <v>13458</v>
      </c>
      <c r="G18">
        <f t="shared" si="0"/>
        <v>-340</v>
      </c>
      <c r="H18" s="8">
        <f t="shared" si="1"/>
        <v>-2.0879774112052312</v>
      </c>
    </row>
    <row r="19" spans="1:8" x14ac:dyDescent="0.25">
      <c r="A19" t="s">
        <v>17</v>
      </c>
      <c r="B19" s="2">
        <v>1135</v>
      </c>
      <c r="C19" s="2">
        <v>1315</v>
      </c>
      <c r="D19" s="2">
        <v>-180</v>
      </c>
      <c r="E19" s="2">
        <v>9882</v>
      </c>
      <c r="F19" s="4">
        <v>10186</v>
      </c>
      <c r="G19">
        <f t="shared" si="0"/>
        <v>304</v>
      </c>
      <c r="H19" s="8">
        <f t="shared" si="1"/>
        <v>-1.7671313567641862</v>
      </c>
    </row>
    <row r="20" spans="1:8" x14ac:dyDescent="0.25">
      <c r="A20" t="s">
        <v>18</v>
      </c>
      <c r="B20" s="2">
        <v>4534</v>
      </c>
      <c r="C20" s="2">
        <v>4877</v>
      </c>
      <c r="D20" s="2">
        <v>-343</v>
      </c>
      <c r="E20" s="2">
        <v>40759</v>
      </c>
      <c r="F20" s="4">
        <v>41180</v>
      </c>
      <c r="G20">
        <f t="shared" si="0"/>
        <v>421</v>
      </c>
      <c r="H20" s="8">
        <f t="shared" si="1"/>
        <v>-0.83292860611947539</v>
      </c>
    </row>
    <row r="21" spans="1:8" x14ac:dyDescent="0.25">
      <c r="A21" t="s">
        <v>19</v>
      </c>
      <c r="B21" s="2">
        <v>377</v>
      </c>
      <c r="C21" s="2">
        <v>408</v>
      </c>
      <c r="D21" s="2">
        <v>-31</v>
      </c>
      <c r="E21" s="2">
        <v>3911</v>
      </c>
      <c r="F21" s="4">
        <v>3903</v>
      </c>
      <c r="G21">
        <f t="shared" si="0"/>
        <v>-8</v>
      </c>
      <c r="H21" s="8">
        <f t="shared" si="1"/>
        <v>-0.79426082500640527</v>
      </c>
    </row>
    <row r="22" spans="1:8" x14ac:dyDescent="0.25">
      <c r="A22" t="s">
        <v>20</v>
      </c>
      <c r="B22" s="2">
        <v>3344</v>
      </c>
      <c r="C22" s="2">
        <v>3421</v>
      </c>
      <c r="D22" s="2">
        <v>-77</v>
      </c>
      <c r="E22" s="2">
        <v>29452</v>
      </c>
      <c r="F22" s="4">
        <v>31383</v>
      </c>
      <c r="G22">
        <f t="shared" si="0"/>
        <v>1931</v>
      </c>
      <c r="H22" s="8">
        <f t="shared" si="1"/>
        <v>-0.24535576586049773</v>
      </c>
    </row>
    <row r="23" spans="1:8" x14ac:dyDescent="0.25">
      <c r="A23" t="s">
        <v>21</v>
      </c>
      <c r="B23" s="2">
        <v>2330</v>
      </c>
      <c r="C23" s="2">
        <v>2247</v>
      </c>
      <c r="D23" s="2">
        <v>83</v>
      </c>
      <c r="E23" s="2">
        <v>20837</v>
      </c>
      <c r="F23" s="4">
        <v>22539</v>
      </c>
      <c r="G23">
        <f t="shared" si="0"/>
        <v>1702</v>
      </c>
      <c r="H23" s="8">
        <f t="shared" si="1"/>
        <v>0.36825058786991438</v>
      </c>
    </row>
    <row r="24" spans="1:8" x14ac:dyDescent="0.25">
      <c r="A24" t="s">
        <v>22</v>
      </c>
      <c r="B24" s="2">
        <v>1774</v>
      </c>
      <c r="C24" s="2">
        <v>1508</v>
      </c>
      <c r="D24" s="2">
        <v>266</v>
      </c>
      <c r="E24" s="2">
        <v>14926</v>
      </c>
      <c r="F24" s="4">
        <v>15785</v>
      </c>
      <c r="G24">
        <f t="shared" si="0"/>
        <v>859</v>
      </c>
      <c r="H24" s="8">
        <f t="shared" si="1"/>
        <v>1.6851441241685146</v>
      </c>
    </row>
    <row r="25" spans="1:8" x14ac:dyDescent="0.25">
      <c r="A25" t="s">
        <v>23</v>
      </c>
      <c r="B25" s="2">
        <v>14465</v>
      </c>
      <c r="C25" s="2">
        <v>10920</v>
      </c>
      <c r="D25" s="2">
        <v>3545</v>
      </c>
      <c r="E25" s="2">
        <v>119830</v>
      </c>
      <c r="F25" s="4">
        <v>129521</v>
      </c>
      <c r="G25">
        <f t="shared" si="0"/>
        <v>9691</v>
      </c>
      <c r="H25" s="8">
        <f t="shared" si="1"/>
        <v>2.737007898333089</v>
      </c>
    </row>
    <row r="26" spans="1:8" x14ac:dyDescent="0.25">
      <c r="A26" t="s">
        <v>24</v>
      </c>
      <c r="B26" s="2">
        <v>4580</v>
      </c>
      <c r="C26" s="2">
        <v>2739</v>
      </c>
      <c r="D26" s="2">
        <v>1841</v>
      </c>
      <c r="E26" s="2">
        <v>34396</v>
      </c>
      <c r="F26" s="4">
        <v>38187</v>
      </c>
      <c r="G26">
        <f t="shared" si="0"/>
        <v>3791</v>
      </c>
      <c r="H26" s="8">
        <f t="shared" si="1"/>
        <v>4.8210123864142247</v>
      </c>
    </row>
    <row r="27" spans="1:8" x14ac:dyDescent="0.25">
      <c r="A27" t="s">
        <v>26</v>
      </c>
      <c r="B27" s="2">
        <v>1617</v>
      </c>
      <c r="C27" s="2">
        <v>787</v>
      </c>
      <c r="D27" s="2">
        <v>830</v>
      </c>
      <c r="E27" s="2">
        <v>10134</v>
      </c>
      <c r="F27" s="4">
        <v>10704</v>
      </c>
      <c r="G27">
        <f t="shared" si="0"/>
        <v>570</v>
      </c>
      <c r="H27" s="8">
        <f t="shared" si="1"/>
        <v>7.7541106128550075</v>
      </c>
    </row>
    <row r="28" spans="1:8" x14ac:dyDescent="0.25">
      <c r="A28" t="s">
        <v>25</v>
      </c>
      <c r="B28" s="2">
        <v>3166</v>
      </c>
      <c r="C28" s="2">
        <v>1632</v>
      </c>
      <c r="D28" s="2">
        <v>1534</v>
      </c>
      <c r="E28" s="2">
        <v>19202</v>
      </c>
      <c r="F28" s="4">
        <v>19044</v>
      </c>
      <c r="G28">
        <f t="shared" si="0"/>
        <v>-158</v>
      </c>
      <c r="H28" s="8">
        <f t="shared" si="1"/>
        <v>8.0550304557865999</v>
      </c>
    </row>
  </sheetData>
  <sortState xmlns:xlrd2="http://schemas.microsoft.com/office/spreadsheetml/2017/richdata2" ref="A2:H28">
    <sortCondition ref="H2:H28"/>
  </sortState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FAC163-C98C-482C-8EDB-787D0985E420}">
  <dimension ref="A2:H55"/>
  <sheetViews>
    <sheetView topLeftCell="A38" workbookViewId="0">
      <selection activeCell="A3" sqref="A3:G55"/>
    </sheetView>
  </sheetViews>
  <sheetFormatPr defaultRowHeight="15" x14ac:dyDescent="0.25"/>
  <cols>
    <col min="1" max="1" width="23.28515625" customWidth="1"/>
  </cols>
  <sheetData>
    <row r="2" spans="1:8" ht="15.75" thickBot="1" x14ac:dyDescent="0.3"/>
    <row r="3" spans="1:8" ht="108.75" thickBot="1" x14ac:dyDescent="0.3">
      <c r="A3" s="82"/>
      <c r="B3" s="83" t="s">
        <v>417</v>
      </c>
      <c r="C3" s="83" t="s">
        <v>418</v>
      </c>
      <c r="D3" s="83" t="s">
        <v>419</v>
      </c>
      <c r="E3" s="83" t="s">
        <v>420</v>
      </c>
      <c r="F3" s="83" t="s">
        <v>421</v>
      </c>
      <c r="G3" s="83" t="s">
        <v>422</v>
      </c>
      <c r="H3" s="83" t="s">
        <v>423</v>
      </c>
    </row>
    <row r="4" spans="1:8" ht="16.5" thickBot="1" x14ac:dyDescent="0.3">
      <c r="A4" s="84" t="s">
        <v>41</v>
      </c>
      <c r="B4" s="85">
        <v>66.3</v>
      </c>
      <c r="C4" s="86"/>
      <c r="D4" s="87">
        <v>12.4</v>
      </c>
      <c r="E4" s="86"/>
      <c r="F4" s="86"/>
      <c r="G4" s="86"/>
      <c r="H4" s="86"/>
    </row>
    <row r="5" spans="1:8" ht="15.75" thickBot="1" x14ac:dyDescent="0.3">
      <c r="A5" s="84" t="s">
        <v>350</v>
      </c>
      <c r="B5" s="85">
        <v>69.3</v>
      </c>
      <c r="C5" s="85">
        <v>16.7</v>
      </c>
      <c r="D5" s="87">
        <v>10</v>
      </c>
      <c r="E5" s="87">
        <v>-18.7</v>
      </c>
      <c r="F5" s="87">
        <v>2.8</v>
      </c>
      <c r="G5" s="87">
        <v>45.6</v>
      </c>
      <c r="H5" s="87">
        <v>18.3</v>
      </c>
    </row>
    <row r="6" spans="1:8" ht="15.75" thickBot="1" x14ac:dyDescent="0.3">
      <c r="A6" s="84" t="s">
        <v>377</v>
      </c>
      <c r="B6" s="85">
        <v>67.3</v>
      </c>
      <c r="C6" s="85">
        <v>12.6</v>
      </c>
      <c r="D6" s="87">
        <v>11.5</v>
      </c>
      <c r="E6" s="87">
        <v>-10.5</v>
      </c>
      <c r="F6" s="87">
        <v>5.8</v>
      </c>
      <c r="G6" s="87">
        <v>26.7</v>
      </c>
      <c r="H6" s="87">
        <v>23.2</v>
      </c>
    </row>
    <row r="7" spans="1:8" ht="15.75" thickBot="1" x14ac:dyDescent="0.3">
      <c r="A7" s="84" t="s">
        <v>356</v>
      </c>
      <c r="B7" s="85">
        <v>64.400000000000006</v>
      </c>
      <c r="C7" s="85">
        <v>6.5</v>
      </c>
      <c r="D7" s="87">
        <v>10.7</v>
      </c>
      <c r="E7" s="87">
        <v>-10.6</v>
      </c>
      <c r="F7" s="87" t="s">
        <v>413</v>
      </c>
      <c r="G7" s="87">
        <v>28.6</v>
      </c>
      <c r="H7" s="87">
        <v>17.8</v>
      </c>
    </row>
    <row r="8" spans="1:8" ht="15.75" thickBot="1" x14ac:dyDescent="0.3">
      <c r="A8" s="84" t="s">
        <v>241</v>
      </c>
      <c r="B8" s="85">
        <v>68.8</v>
      </c>
      <c r="C8" s="85">
        <v>12</v>
      </c>
      <c r="D8" s="87">
        <v>12.1</v>
      </c>
      <c r="E8" s="87">
        <v>-12.9</v>
      </c>
      <c r="F8" s="87" t="s">
        <v>413</v>
      </c>
      <c r="G8" s="87">
        <v>28.9</v>
      </c>
      <c r="H8" s="87">
        <v>16.399999999999999</v>
      </c>
    </row>
    <row r="9" spans="1:8" ht="15.75" thickBot="1" x14ac:dyDescent="0.3">
      <c r="A9" s="84" t="s">
        <v>334</v>
      </c>
      <c r="B9" s="85">
        <v>62.8</v>
      </c>
      <c r="C9" s="85">
        <v>10.9</v>
      </c>
      <c r="D9" s="87">
        <v>14.7</v>
      </c>
      <c r="E9" s="87">
        <v>-12.1</v>
      </c>
      <c r="F9" s="87">
        <v>1.6</v>
      </c>
      <c r="G9" s="87">
        <v>27.6</v>
      </c>
      <c r="H9" s="87">
        <v>17.8</v>
      </c>
    </row>
    <row r="10" spans="1:8" ht="15.75" thickBot="1" x14ac:dyDescent="0.3">
      <c r="A10" s="84" t="s">
        <v>336</v>
      </c>
      <c r="B10" s="85">
        <v>63.6</v>
      </c>
      <c r="C10" s="85">
        <v>14.9</v>
      </c>
      <c r="D10" s="87">
        <v>14.7</v>
      </c>
      <c r="E10" s="87">
        <v>-15.5</v>
      </c>
      <c r="F10" s="87">
        <v>0.8</v>
      </c>
      <c r="G10" s="87">
        <v>33.1</v>
      </c>
      <c r="H10" s="87">
        <v>19.8</v>
      </c>
    </row>
    <row r="11" spans="1:8" ht="15.75" thickBot="1" x14ac:dyDescent="0.3">
      <c r="A11" s="84" t="s">
        <v>405</v>
      </c>
      <c r="B11" s="85">
        <v>58.8</v>
      </c>
      <c r="C11" s="85">
        <v>11.3</v>
      </c>
      <c r="D11" s="87">
        <v>17.7</v>
      </c>
      <c r="E11" s="87">
        <v>-13.9</v>
      </c>
      <c r="F11" s="87">
        <v>8.6</v>
      </c>
      <c r="G11" s="87">
        <v>27.6</v>
      </c>
      <c r="H11" s="87">
        <v>30.3</v>
      </c>
    </row>
    <row r="12" spans="1:8" ht="15.75" thickBot="1" x14ac:dyDescent="0.3">
      <c r="A12" s="84" t="s">
        <v>415</v>
      </c>
      <c r="B12" s="85">
        <v>63.5</v>
      </c>
      <c r="C12" s="85">
        <v>11.5</v>
      </c>
      <c r="D12" s="87">
        <v>13.3</v>
      </c>
      <c r="E12" s="87">
        <v>-14.1</v>
      </c>
      <c r="F12" s="87">
        <v>6.5</v>
      </c>
      <c r="G12" s="87">
        <v>30.9</v>
      </c>
      <c r="H12" s="87">
        <v>15.7</v>
      </c>
    </row>
    <row r="13" spans="1:8" ht="15.75" thickBot="1" x14ac:dyDescent="0.3">
      <c r="A13" s="84" t="s">
        <v>338</v>
      </c>
      <c r="B13" s="85">
        <v>64.8</v>
      </c>
      <c r="C13" s="85">
        <v>10.7</v>
      </c>
      <c r="D13" s="87">
        <v>16.3</v>
      </c>
      <c r="E13" s="87">
        <v>-9.1</v>
      </c>
      <c r="F13" s="87">
        <v>1.8</v>
      </c>
      <c r="G13" s="87">
        <v>33.5</v>
      </c>
      <c r="H13" s="87">
        <v>18.100000000000001</v>
      </c>
    </row>
    <row r="14" spans="1:8" ht="15.75" thickBot="1" x14ac:dyDescent="0.3">
      <c r="A14" s="84" t="s">
        <v>341</v>
      </c>
      <c r="B14" s="85">
        <v>64</v>
      </c>
      <c r="C14" s="85">
        <v>2.7</v>
      </c>
      <c r="D14" s="87">
        <v>12.9</v>
      </c>
      <c r="E14" s="87">
        <v>-5.2</v>
      </c>
      <c r="F14" s="87" t="s">
        <v>413</v>
      </c>
      <c r="G14" s="87">
        <v>18.5</v>
      </c>
      <c r="H14" s="87">
        <v>14.8</v>
      </c>
    </row>
    <row r="15" spans="1:8" ht="15.75" thickBot="1" x14ac:dyDescent="0.3">
      <c r="A15" s="84" t="s">
        <v>414</v>
      </c>
      <c r="B15" s="85">
        <v>62.4</v>
      </c>
      <c r="C15" s="85">
        <v>12.4</v>
      </c>
      <c r="D15" s="87">
        <v>12.6</v>
      </c>
      <c r="E15" s="87">
        <v>-15.8</v>
      </c>
      <c r="F15" s="87">
        <v>0.6</v>
      </c>
      <c r="G15" s="87">
        <v>25.4</v>
      </c>
      <c r="H15" s="87">
        <v>12.7</v>
      </c>
    </row>
    <row r="16" spans="1:8" ht="15.75" thickBot="1" x14ac:dyDescent="0.3">
      <c r="A16" s="84" t="s">
        <v>345</v>
      </c>
      <c r="B16" s="85">
        <v>66.599999999999994</v>
      </c>
      <c r="C16" s="85">
        <v>14.8</v>
      </c>
      <c r="D16" s="87">
        <v>13.8</v>
      </c>
      <c r="E16" s="87">
        <v>-14.4</v>
      </c>
      <c r="F16" s="87">
        <v>1.5</v>
      </c>
      <c r="G16" s="87">
        <v>22.7</v>
      </c>
      <c r="H16" s="87">
        <v>18.100000000000001</v>
      </c>
    </row>
    <row r="17" spans="1:8" ht="15.75" thickBot="1" x14ac:dyDescent="0.3">
      <c r="A17" s="84" t="s">
        <v>347</v>
      </c>
      <c r="B17" s="85">
        <v>68.3</v>
      </c>
      <c r="C17" s="85">
        <v>10.1</v>
      </c>
      <c r="D17" s="87">
        <v>12.6</v>
      </c>
      <c r="E17" s="87">
        <v>-9.4</v>
      </c>
      <c r="F17" s="87">
        <v>1.1000000000000001</v>
      </c>
      <c r="G17" s="87">
        <v>26.6</v>
      </c>
      <c r="H17" s="87">
        <v>18.100000000000001</v>
      </c>
    </row>
    <row r="18" spans="1:8" ht="15.75" thickBot="1" x14ac:dyDescent="0.3">
      <c r="A18" s="84" t="s">
        <v>416</v>
      </c>
      <c r="B18" s="85">
        <v>74.599999999999994</v>
      </c>
      <c r="C18" s="85">
        <v>7.8</v>
      </c>
      <c r="D18" s="87">
        <v>6.2</v>
      </c>
      <c r="E18" s="87">
        <v>-5.4</v>
      </c>
      <c r="F18" s="87">
        <v>10</v>
      </c>
      <c r="G18" s="87">
        <v>34.299999999999997</v>
      </c>
      <c r="H18" s="87">
        <v>35.299999999999997</v>
      </c>
    </row>
    <row r="19" spans="1:8" ht="15.75" thickBot="1" x14ac:dyDescent="0.3"/>
    <row r="20" spans="1:8" ht="29.25" customHeight="1" x14ac:dyDescent="0.25">
      <c r="A20" s="225"/>
      <c r="B20" s="235" t="s">
        <v>426</v>
      </c>
      <c r="C20" s="235" t="s">
        <v>427</v>
      </c>
      <c r="D20" s="235" t="s">
        <v>428</v>
      </c>
      <c r="E20" s="235" t="s">
        <v>429</v>
      </c>
      <c r="F20" s="235" t="s">
        <v>430</v>
      </c>
      <c r="G20" s="235" t="s">
        <v>425</v>
      </c>
      <c r="H20" s="88"/>
    </row>
    <row r="21" spans="1:8" x14ac:dyDescent="0.25">
      <c r="A21" s="238"/>
      <c r="B21" s="236"/>
      <c r="C21" s="236"/>
      <c r="D21" s="236"/>
      <c r="E21" s="236"/>
      <c r="F21" s="236"/>
      <c r="G21" s="236"/>
      <c r="H21" s="89"/>
    </row>
    <row r="22" spans="1:8" x14ac:dyDescent="0.25">
      <c r="A22" s="238"/>
      <c r="B22" s="236"/>
      <c r="C22" s="236"/>
      <c r="D22" s="236"/>
      <c r="E22" s="236"/>
      <c r="F22" s="236"/>
      <c r="G22" s="236"/>
      <c r="H22" s="89"/>
    </row>
    <row r="23" spans="1:8" ht="24.75" thickBot="1" x14ac:dyDescent="0.3">
      <c r="A23" s="226"/>
      <c r="B23" s="237"/>
      <c r="C23" s="237"/>
      <c r="D23" s="237"/>
      <c r="E23" s="237"/>
      <c r="F23" s="237"/>
      <c r="G23" s="237"/>
      <c r="H23" s="90" t="s">
        <v>424</v>
      </c>
    </row>
    <row r="24" spans="1:8" ht="14.25" customHeight="1" thickBot="1" x14ac:dyDescent="0.3">
      <c r="A24" s="84" t="s">
        <v>41</v>
      </c>
      <c r="B24" s="86"/>
      <c r="C24" s="87">
        <v>3.7</v>
      </c>
      <c r="D24" s="87">
        <v>26.3</v>
      </c>
      <c r="E24" s="87">
        <v>-21</v>
      </c>
      <c r="F24" s="86"/>
      <c r="G24" s="87">
        <v>5.8</v>
      </c>
      <c r="H24" s="91">
        <v>18583</v>
      </c>
    </row>
    <row r="25" spans="1:8" ht="14.25" customHeight="1" thickBot="1" x14ac:dyDescent="0.3">
      <c r="A25" s="84" t="s">
        <v>350</v>
      </c>
      <c r="B25" s="87">
        <v>64</v>
      </c>
      <c r="C25" s="87">
        <v>3.5</v>
      </c>
      <c r="D25" s="87">
        <v>21.8</v>
      </c>
      <c r="E25" s="87">
        <v>-16.5</v>
      </c>
      <c r="F25" s="87">
        <v>0.8</v>
      </c>
      <c r="G25" s="87">
        <v>7.2</v>
      </c>
      <c r="H25" s="91">
        <v>27856</v>
      </c>
    </row>
    <row r="26" spans="1:8" ht="14.25" customHeight="1" thickBot="1" x14ac:dyDescent="0.3">
      <c r="A26" s="84" t="s">
        <v>377</v>
      </c>
      <c r="B26" s="87">
        <v>55</v>
      </c>
      <c r="C26" s="87">
        <v>4.2</v>
      </c>
      <c r="D26" s="87">
        <v>27.8</v>
      </c>
      <c r="E26" s="87">
        <v>-19.600000000000001</v>
      </c>
      <c r="F26" s="87">
        <v>0.3</v>
      </c>
      <c r="G26" s="87">
        <v>7</v>
      </c>
      <c r="H26" s="91">
        <v>14112</v>
      </c>
    </row>
    <row r="27" spans="1:8" ht="15.75" thickBot="1" x14ac:dyDescent="0.3">
      <c r="A27" s="84" t="s">
        <v>356</v>
      </c>
      <c r="B27" s="87">
        <v>75.599999999999994</v>
      </c>
      <c r="C27" s="87">
        <v>4.3</v>
      </c>
      <c r="D27" s="87">
        <v>22.6</v>
      </c>
      <c r="E27" s="87">
        <v>-27</v>
      </c>
      <c r="F27" s="87">
        <v>2</v>
      </c>
      <c r="G27" s="87">
        <v>8.1</v>
      </c>
      <c r="H27" s="91">
        <v>19291</v>
      </c>
    </row>
    <row r="28" spans="1:8" ht="15.75" thickBot="1" x14ac:dyDescent="0.3">
      <c r="A28" s="84" t="s">
        <v>241</v>
      </c>
      <c r="B28" s="87">
        <v>73</v>
      </c>
      <c r="C28" s="87">
        <v>5.2</v>
      </c>
      <c r="D28" s="87">
        <v>17.8</v>
      </c>
      <c r="E28" s="87">
        <v>-20.2</v>
      </c>
      <c r="F28" s="87">
        <v>5.5</v>
      </c>
      <c r="G28" s="87">
        <v>5.6</v>
      </c>
      <c r="H28" s="91">
        <v>14705</v>
      </c>
    </row>
    <row r="29" spans="1:8" ht="15.75" thickBot="1" x14ac:dyDescent="0.3">
      <c r="A29" s="84" t="s">
        <v>334</v>
      </c>
      <c r="B29" s="87">
        <v>75.5</v>
      </c>
      <c r="C29" s="87">
        <v>6.4</v>
      </c>
      <c r="D29" s="87">
        <v>32.299999999999997</v>
      </c>
      <c r="E29" s="87">
        <v>-21.3</v>
      </c>
      <c r="F29" s="87">
        <v>2.4</v>
      </c>
      <c r="G29" s="87">
        <v>3.9</v>
      </c>
      <c r="H29" s="91">
        <v>11236</v>
      </c>
    </row>
    <row r="30" spans="1:8" ht="15.75" thickBot="1" x14ac:dyDescent="0.3">
      <c r="A30" s="84" t="s">
        <v>336</v>
      </c>
      <c r="B30" s="87">
        <v>69.7</v>
      </c>
      <c r="C30" s="87">
        <v>1.4</v>
      </c>
      <c r="D30" s="87">
        <v>30.4</v>
      </c>
      <c r="E30" s="87">
        <v>-24.7</v>
      </c>
      <c r="F30" s="87">
        <v>5.9</v>
      </c>
      <c r="G30" s="87">
        <v>6.7</v>
      </c>
      <c r="H30" s="91">
        <v>13871</v>
      </c>
    </row>
    <row r="31" spans="1:8" ht="15.75" thickBot="1" x14ac:dyDescent="0.3">
      <c r="A31" s="84" t="s">
        <v>405</v>
      </c>
      <c r="B31" s="87">
        <v>75.8</v>
      </c>
      <c r="C31" s="87">
        <v>3.2</v>
      </c>
      <c r="D31" s="87">
        <v>29.8</v>
      </c>
      <c r="E31" s="87">
        <v>-25.3</v>
      </c>
      <c r="F31" s="87">
        <v>12.5</v>
      </c>
      <c r="G31" s="87">
        <v>2</v>
      </c>
      <c r="H31" s="91">
        <v>12420</v>
      </c>
    </row>
    <row r="32" spans="1:8" ht="15.75" thickBot="1" x14ac:dyDescent="0.3">
      <c r="A32" s="84" t="s">
        <v>415</v>
      </c>
      <c r="B32" s="87">
        <v>81.099999999999994</v>
      </c>
      <c r="C32" s="87">
        <v>0.9</v>
      </c>
      <c r="D32" s="87">
        <v>19.7</v>
      </c>
      <c r="E32" s="87">
        <v>-19</v>
      </c>
      <c r="F32" s="87">
        <v>9.6999999999999993</v>
      </c>
      <c r="G32" s="87">
        <v>4.3</v>
      </c>
      <c r="H32" s="91">
        <v>13969</v>
      </c>
    </row>
    <row r="33" spans="1:8" ht="15.75" thickBot="1" x14ac:dyDescent="0.3">
      <c r="A33" s="84" t="s">
        <v>338</v>
      </c>
      <c r="B33" s="87">
        <v>73</v>
      </c>
      <c r="C33" s="87">
        <v>1.3</v>
      </c>
      <c r="D33" s="87">
        <v>24.2</v>
      </c>
      <c r="E33" s="87">
        <v>-21.6</v>
      </c>
      <c r="F33" s="87">
        <v>9.1999999999999993</v>
      </c>
      <c r="G33" s="87">
        <v>3.3</v>
      </c>
      <c r="H33" s="91">
        <v>12376</v>
      </c>
    </row>
    <row r="34" spans="1:8" ht="15.75" thickBot="1" x14ac:dyDescent="0.3">
      <c r="A34" s="84" t="s">
        <v>341</v>
      </c>
      <c r="B34" s="87">
        <v>75.8</v>
      </c>
      <c r="C34" s="87">
        <v>1.2</v>
      </c>
      <c r="D34" s="87">
        <v>31.8</v>
      </c>
      <c r="E34" s="87">
        <v>-25.1</v>
      </c>
      <c r="F34" s="87">
        <v>2</v>
      </c>
      <c r="G34" s="87">
        <v>10.9</v>
      </c>
      <c r="H34" s="91">
        <v>16002</v>
      </c>
    </row>
    <row r="35" spans="1:8" ht="15.75" thickBot="1" x14ac:dyDescent="0.3">
      <c r="A35" s="84" t="s">
        <v>414</v>
      </c>
      <c r="B35" s="87">
        <v>71.3</v>
      </c>
      <c r="C35" s="87">
        <v>6.4</v>
      </c>
      <c r="D35" s="87">
        <v>37.200000000000003</v>
      </c>
      <c r="E35" s="87">
        <v>-24.2</v>
      </c>
      <c r="F35" s="87">
        <v>6.3</v>
      </c>
      <c r="G35" s="87">
        <v>2.5</v>
      </c>
      <c r="H35" s="91">
        <v>10396</v>
      </c>
    </row>
    <row r="36" spans="1:8" ht="15.75" thickBot="1" x14ac:dyDescent="0.3">
      <c r="A36" s="84" t="s">
        <v>345</v>
      </c>
      <c r="B36" s="87">
        <v>66</v>
      </c>
      <c r="C36" s="87">
        <v>11.7</v>
      </c>
      <c r="D36" s="87">
        <v>31.8</v>
      </c>
      <c r="E36" s="87">
        <v>-31.4</v>
      </c>
      <c r="F36" s="87">
        <v>2.7</v>
      </c>
      <c r="G36" s="87">
        <v>3.9</v>
      </c>
      <c r="H36" s="91">
        <v>11115</v>
      </c>
    </row>
    <row r="37" spans="1:8" ht="15.75" thickBot="1" x14ac:dyDescent="0.3">
      <c r="A37" s="84" t="s">
        <v>347</v>
      </c>
      <c r="B37" s="87">
        <v>71.3</v>
      </c>
      <c r="C37" s="87">
        <v>2.4</v>
      </c>
      <c r="D37" s="87">
        <v>36.9</v>
      </c>
      <c r="E37" s="87">
        <v>-22.2</v>
      </c>
      <c r="F37" s="87">
        <v>3.7</v>
      </c>
      <c r="G37" s="87">
        <v>3.8</v>
      </c>
      <c r="H37" s="91">
        <v>13449</v>
      </c>
    </row>
    <row r="38" spans="1:8" ht="15.75" thickBot="1" x14ac:dyDescent="0.3">
      <c r="A38" s="84" t="s">
        <v>416</v>
      </c>
      <c r="B38" s="87">
        <v>92.5</v>
      </c>
      <c r="C38" s="87">
        <v>9.8000000000000007</v>
      </c>
      <c r="D38" s="87">
        <v>21.7</v>
      </c>
      <c r="E38" s="87">
        <v>-10.7</v>
      </c>
      <c r="F38" s="87">
        <v>-5.7</v>
      </c>
      <c r="G38" s="87">
        <v>9.6</v>
      </c>
      <c r="H38" s="91"/>
    </row>
    <row r="39" spans="1:8" ht="15.75" thickBot="1" x14ac:dyDescent="0.3"/>
    <row r="40" spans="1:8" ht="42.4" customHeight="1" x14ac:dyDescent="0.25">
      <c r="A40" s="225"/>
      <c r="B40" s="227" t="s">
        <v>434</v>
      </c>
      <c r="C40" s="229" t="s">
        <v>431</v>
      </c>
      <c r="D40" s="231" t="s">
        <v>432</v>
      </c>
      <c r="E40" s="233" t="s">
        <v>433</v>
      </c>
    </row>
    <row r="41" spans="1:8" ht="15.75" thickBot="1" x14ac:dyDescent="0.3">
      <c r="A41" s="226"/>
      <c r="B41" s="228"/>
      <c r="C41" s="230"/>
      <c r="D41" s="232"/>
      <c r="E41" s="234"/>
    </row>
    <row r="42" spans="1:8" ht="15.75" thickBot="1" x14ac:dyDescent="0.3">
      <c r="A42" s="84" t="s">
        <v>350</v>
      </c>
      <c r="B42" s="92">
        <v>81.7</v>
      </c>
      <c r="C42" s="92">
        <v>90.2</v>
      </c>
      <c r="D42" s="92">
        <v>83.3</v>
      </c>
      <c r="E42" s="92">
        <v>70.099999999999994</v>
      </c>
    </row>
    <row r="43" spans="1:8" ht="15.75" thickBot="1" x14ac:dyDescent="0.3">
      <c r="A43" s="84" t="s">
        <v>377</v>
      </c>
      <c r="B43" s="92">
        <v>87.2</v>
      </c>
      <c r="C43" s="92">
        <v>91.8</v>
      </c>
      <c r="D43" s="92">
        <v>87.1</v>
      </c>
      <c r="E43" s="92">
        <v>81.5</v>
      </c>
    </row>
    <row r="44" spans="1:8" ht="15.75" thickBot="1" x14ac:dyDescent="0.3">
      <c r="A44" s="84" t="s">
        <v>356</v>
      </c>
      <c r="B44" s="92">
        <v>83.4</v>
      </c>
      <c r="C44" s="92">
        <v>88.9</v>
      </c>
      <c r="D44" s="92">
        <v>83.7</v>
      </c>
      <c r="E44" s="92">
        <v>76.2</v>
      </c>
    </row>
    <row r="45" spans="1:8" ht="15.75" thickBot="1" x14ac:dyDescent="0.3">
      <c r="A45" s="84" t="s">
        <v>241</v>
      </c>
      <c r="B45" s="92">
        <v>85.7</v>
      </c>
      <c r="C45" s="92">
        <v>92</v>
      </c>
      <c r="D45" s="92">
        <v>82.5</v>
      </c>
      <c r="E45" s="92">
        <v>81.400000000000006</v>
      </c>
    </row>
    <row r="46" spans="1:8" ht="15.75" thickBot="1" x14ac:dyDescent="0.3">
      <c r="A46" s="84" t="s">
        <v>334</v>
      </c>
      <c r="B46" s="92">
        <v>74.5</v>
      </c>
      <c r="C46" s="92">
        <v>81.2</v>
      </c>
      <c r="D46" s="92">
        <v>84.7</v>
      </c>
      <c r="E46" s="92">
        <v>56.5</v>
      </c>
    </row>
    <row r="47" spans="1:8" ht="15.75" thickBot="1" x14ac:dyDescent="0.3">
      <c r="A47" s="84" t="s">
        <v>336</v>
      </c>
      <c r="B47" s="92">
        <v>80.2</v>
      </c>
      <c r="C47" s="92">
        <v>85.2</v>
      </c>
      <c r="D47" s="92">
        <v>85.9</v>
      </c>
      <c r="E47" s="92">
        <v>68</v>
      </c>
    </row>
    <row r="48" spans="1:8" ht="15.75" thickBot="1" x14ac:dyDescent="0.3">
      <c r="A48" s="84" t="s">
        <v>405</v>
      </c>
      <c r="B48" s="92">
        <v>80.599999999999994</v>
      </c>
      <c r="C48" s="92">
        <v>85.6</v>
      </c>
      <c r="D48" s="92">
        <v>84.5</v>
      </c>
      <c r="E48" s="92">
        <v>70.3</v>
      </c>
    </row>
    <row r="49" spans="1:5" ht="15.75" thickBot="1" x14ac:dyDescent="0.3">
      <c r="A49" s="84" t="s">
        <v>415</v>
      </c>
      <c r="B49" s="92">
        <v>81.400000000000006</v>
      </c>
      <c r="C49" s="92">
        <v>83.5</v>
      </c>
      <c r="D49" s="92">
        <v>88</v>
      </c>
      <c r="E49" s="92">
        <v>71.599999999999994</v>
      </c>
    </row>
    <row r="50" spans="1:5" ht="15.75" thickBot="1" x14ac:dyDescent="0.3">
      <c r="A50" s="84" t="s">
        <v>338</v>
      </c>
      <c r="B50" s="92">
        <v>79</v>
      </c>
      <c r="C50" s="92">
        <v>82.6</v>
      </c>
      <c r="D50" s="92">
        <v>83.4</v>
      </c>
      <c r="E50" s="92">
        <v>69.8</v>
      </c>
    </row>
    <row r="51" spans="1:5" ht="15.75" thickBot="1" x14ac:dyDescent="0.3">
      <c r="A51" s="84" t="s">
        <v>341</v>
      </c>
      <c r="B51" s="92">
        <v>73.099999999999994</v>
      </c>
      <c r="C51" s="92">
        <v>80.400000000000006</v>
      </c>
      <c r="D51" s="92">
        <v>82.6</v>
      </c>
      <c r="E51" s="92">
        <v>55.2</v>
      </c>
    </row>
    <row r="52" spans="1:5" ht="15.75" thickBot="1" x14ac:dyDescent="0.3">
      <c r="A52" s="84" t="s">
        <v>414</v>
      </c>
      <c r="B52" s="92">
        <v>75.400000000000006</v>
      </c>
      <c r="C52" s="92">
        <v>81.599999999999994</v>
      </c>
      <c r="D52" s="92">
        <v>80.7</v>
      </c>
      <c r="E52" s="92">
        <v>62.6</v>
      </c>
    </row>
    <row r="53" spans="1:5" ht="15.75" thickBot="1" x14ac:dyDescent="0.3">
      <c r="A53" s="84" t="s">
        <v>345</v>
      </c>
      <c r="B53" s="92">
        <v>72.2</v>
      </c>
      <c r="C53" s="92">
        <v>79.5</v>
      </c>
      <c r="D53" s="92">
        <v>81</v>
      </c>
      <c r="E53" s="92">
        <v>54.9</v>
      </c>
    </row>
    <row r="54" spans="1:5" ht="15.75" thickBot="1" x14ac:dyDescent="0.3">
      <c r="A54" s="84" t="s">
        <v>347</v>
      </c>
      <c r="B54" s="92">
        <v>73.5</v>
      </c>
      <c r="C54" s="92">
        <v>78.099999999999994</v>
      </c>
      <c r="D54" s="92">
        <v>81.599999999999994</v>
      </c>
      <c r="E54" s="92">
        <v>59.5</v>
      </c>
    </row>
    <row r="55" spans="1:5" ht="15.75" thickBot="1" x14ac:dyDescent="0.3">
      <c r="A55" s="84" t="s">
        <v>41</v>
      </c>
      <c r="B55" s="92">
        <v>79.7</v>
      </c>
      <c r="C55" s="92">
        <v>86.2</v>
      </c>
      <c r="D55" s="92">
        <v>83.7</v>
      </c>
      <c r="E55" s="92">
        <v>68</v>
      </c>
    </row>
  </sheetData>
  <mergeCells count="12">
    <mergeCell ref="G20:G23"/>
    <mergeCell ref="A20:A23"/>
    <mergeCell ref="B20:B23"/>
    <mergeCell ref="C20:C23"/>
    <mergeCell ref="D20:D23"/>
    <mergeCell ref="E20:E23"/>
    <mergeCell ref="F20:F23"/>
    <mergeCell ref="A40:A41"/>
    <mergeCell ref="B40:B41"/>
    <mergeCell ref="C40:C41"/>
    <mergeCell ref="D40:D41"/>
    <mergeCell ref="E40:E4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BB27F-D430-4BBE-9BC9-97A888D84697}">
  <dimension ref="A1:Y26"/>
  <sheetViews>
    <sheetView topLeftCell="A16" zoomScale="79" zoomScaleNormal="79" workbookViewId="0">
      <selection activeCell="A17" sqref="A17:A26"/>
    </sheetView>
  </sheetViews>
  <sheetFormatPr defaultRowHeight="15" x14ac:dyDescent="0.25"/>
  <cols>
    <col min="1" max="1" width="24.28515625" customWidth="1"/>
  </cols>
  <sheetData>
    <row r="1" spans="1:25" x14ac:dyDescent="0.25">
      <c r="A1" s="10"/>
      <c r="B1" s="11">
        <v>2000</v>
      </c>
      <c r="C1" s="11" t="s">
        <v>42</v>
      </c>
      <c r="D1" s="11">
        <v>2015</v>
      </c>
      <c r="E1" s="11">
        <v>2016</v>
      </c>
      <c r="F1" s="11">
        <v>2017</v>
      </c>
      <c r="G1" s="11">
        <v>2018</v>
      </c>
      <c r="H1" s="11">
        <v>2019</v>
      </c>
      <c r="I1" s="11">
        <v>2020</v>
      </c>
      <c r="J1" s="12">
        <v>2021</v>
      </c>
      <c r="K1" s="12" t="s">
        <v>43</v>
      </c>
    </row>
    <row r="2" spans="1:25" x14ac:dyDescent="0.25">
      <c r="A2" s="14" t="s">
        <v>34</v>
      </c>
      <c r="B2" s="15">
        <v>9034.5359370400365</v>
      </c>
      <c r="C2" s="15">
        <v>16747.534061661761</v>
      </c>
      <c r="D2" s="16">
        <v>12687.260332079692</v>
      </c>
      <c r="E2" s="16">
        <v>12194.582764592249</v>
      </c>
      <c r="F2" s="16">
        <v>11853.235670346701</v>
      </c>
      <c r="G2" s="16">
        <v>11650.38622944796</v>
      </c>
      <c r="H2" s="16">
        <v>11313.06954236156</v>
      </c>
      <c r="I2" s="16">
        <v>9870.0668788793118</v>
      </c>
      <c r="J2" s="16">
        <v>10627.974169640347</v>
      </c>
      <c r="K2" s="16">
        <v>11882.287677093682</v>
      </c>
    </row>
    <row r="3" spans="1:25" ht="16.149999999999999" customHeight="1" x14ac:dyDescent="0.25">
      <c r="A3" s="14" t="s">
        <v>35</v>
      </c>
      <c r="B3" s="15">
        <v>9146.595127543922</v>
      </c>
      <c r="C3" s="15">
        <v>18729.378364397802</v>
      </c>
      <c r="D3" s="16">
        <v>12620.598415446631</v>
      </c>
      <c r="E3" s="16">
        <v>12280.170002505043</v>
      </c>
      <c r="F3" s="16">
        <v>11844.513863373564</v>
      </c>
      <c r="G3" s="16">
        <v>11454.25462638281</v>
      </c>
      <c r="H3" s="16">
        <v>11400.145609705492</v>
      </c>
      <c r="I3" s="16">
        <v>9677.8203029613069</v>
      </c>
      <c r="J3" s="16">
        <v>10517.92365379452</v>
      </c>
      <c r="K3" s="16">
        <v>11820.389105547772</v>
      </c>
    </row>
    <row r="4" spans="1:25" ht="15.75" customHeight="1" x14ac:dyDescent="0.25">
      <c r="A4" s="14" t="s">
        <v>36</v>
      </c>
      <c r="B4" s="15">
        <v>9197.3784819408738</v>
      </c>
      <c r="C4" s="15">
        <v>16705.534788290639</v>
      </c>
      <c r="D4" s="16">
        <v>12084.481728865094</v>
      </c>
      <c r="E4" s="16">
        <v>11806.799298030122</v>
      </c>
      <c r="F4" s="16">
        <v>11368.357632903091</v>
      </c>
      <c r="G4" s="16">
        <v>11036.629944885877</v>
      </c>
      <c r="H4" s="16">
        <v>11299.140654323484</v>
      </c>
      <c r="I4" s="16">
        <v>10220.542154194569</v>
      </c>
      <c r="J4" s="16">
        <v>11068.383243326756</v>
      </c>
      <c r="K4" s="16">
        <v>12346.800115300155</v>
      </c>
    </row>
    <row r="5" spans="1:25" ht="12.75" customHeight="1" x14ac:dyDescent="0.25">
      <c r="A5" s="14" t="s">
        <v>44</v>
      </c>
      <c r="B5" s="15">
        <v>13824.715525550228</v>
      </c>
      <c r="C5" s="15">
        <v>21402.366274774438</v>
      </c>
      <c r="D5" s="16">
        <v>16022.515336256409</v>
      </c>
      <c r="E5" s="16">
        <v>15377.515264717447</v>
      </c>
      <c r="F5" s="16">
        <v>15401.031919377676</v>
      </c>
      <c r="G5" s="16">
        <v>15752.862155870893</v>
      </c>
      <c r="H5" s="16">
        <v>16288.23135284413</v>
      </c>
      <c r="I5" s="16">
        <v>12644.145614702858</v>
      </c>
      <c r="J5" s="16">
        <v>14308.234573126028</v>
      </c>
      <c r="K5" s="16">
        <v>16905.520564228034</v>
      </c>
    </row>
    <row r="6" spans="1:25" x14ac:dyDescent="0.25">
      <c r="A6" s="17" t="s">
        <v>45</v>
      </c>
      <c r="B6" s="15">
        <v>16088.292856203188</v>
      </c>
      <c r="C6" s="15">
        <v>28976.384388253784</v>
      </c>
      <c r="D6" s="16">
        <v>21289.739185381404</v>
      </c>
      <c r="E6" s="16">
        <v>20478.107321069136</v>
      </c>
      <c r="F6" s="16">
        <v>20847.475771410373</v>
      </c>
      <c r="G6" s="16">
        <v>21615.649195416965</v>
      </c>
      <c r="H6" s="16">
        <v>22103.845847342476</v>
      </c>
      <c r="I6" s="16">
        <v>17260.437372998265</v>
      </c>
      <c r="J6" s="16">
        <v>20129.295703473414</v>
      </c>
      <c r="K6" s="16">
        <v>23233.115741606704</v>
      </c>
    </row>
    <row r="7" spans="1:25" ht="17.25" customHeight="1" x14ac:dyDescent="0.25">
      <c r="A7" s="14" t="s">
        <v>37</v>
      </c>
      <c r="B7" s="15">
        <v>15370.455943403515</v>
      </c>
      <c r="C7" s="15">
        <v>24763.408418125691</v>
      </c>
      <c r="D7" s="16">
        <v>17542.271387460489</v>
      </c>
      <c r="E7" s="16">
        <v>17172.506049158797</v>
      </c>
      <c r="F7" s="16">
        <v>17471.003115394407</v>
      </c>
      <c r="G7" s="16">
        <v>18485.00911064196</v>
      </c>
      <c r="H7" s="16">
        <v>19455.310380871204</v>
      </c>
      <c r="I7" s="16">
        <v>14881.819832668138</v>
      </c>
      <c r="J7" s="16">
        <v>17088.159991378689</v>
      </c>
      <c r="K7" s="16">
        <v>20211.643016536276</v>
      </c>
    </row>
    <row r="8" spans="1:25" ht="24.4" customHeight="1" x14ac:dyDescent="0.25">
      <c r="A8" s="14" t="s">
        <v>38</v>
      </c>
      <c r="B8" s="15">
        <v>12423.958611285585</v>
      </c>
      <c r="C8" s="15">
        <v>20880.141054608586</v>
      </c>
      <c r="D8" s="16">
        <v>14587.625320624156</v>
      </c>
      <c r="E8" s="16">
        <v>14677.015685528462</v>
      </c>
      <c r="F8" s="16">
        <v>14964.161205391134</v>
      </c>
      <c r="G8" s="16">
        <v>15241.891223401102</v>
      </c>
      <c r="H8" s="16">
        <v>15571.836313515269</v>
      </c>
      <c r="I8" s="16">
        <v>12583.004669516344</v>
      </c>
      <c r="J8" s="16">
        <v>14200.983924059441</v>
      </c>
      <c r="K8" s="16">
        <v>16088.191870111714</v>
      </c>
    </row>
    <row r="9" spans="1:25" x14ac:dyDescent="0.25">
      <c r="A9" s="14" t="s">
        <v>39</v>
      </c>
      <c r="B9" s="15">
        <v>12998.876680629604</v>
      </c>
      <c r="C9" s="15">
        <v>23202.855270793047</v>
      </c>
      <c r="D9" s="16">
        <v>14614.248040778009</v>
      </c>
      <c r="E9" s="16">
        <v>14460.862312209161</v>
      </c>
      <c r="F9" s="16">
        <v>14740.306205213234</v>
      </c>
      <c r="G9" s="16">
        <v>14950.055936649982</v>
      </c>
      <c r="H9" s="16">
        <v>15344.611732460564</v>
      </c>
      <c r="I9" s="16">
        <v>12214.922024279034</v>
      </c>
      <c r="J9" s="16">
        <v>14036.968725077919</v>
      </c>
      <c r="K9" s="16">
        <v>17076.473089047478</v>
      </c>
    </row>
    <row r="10" spans="1:25" x14ac:dyDescent="0.25">
      <c r="A10" s="14" t="s">
        <v>40</v>
      </c>
      <c r="B10" s="15">
        <v>8264.4698390198027</v>
      </c>
      <c r="C10" s="15">
        <v>14805.835292034897</v>
      </c>
      <c r="D10" s="16">
        <v>12095.329752778294</v>
      </c>
      <c r="E10" s="16">
        <v>12008.935674929893</v>
      </c>
      <c r="F10" s="16">
        <v>12007.679582044973</v>
      </c>
      <c r="G10" s="16">
        <v>12706.230369734665</v>
      </c>
      <c r="H10" s="16">
        <v>13101.679959072828</v>
      </c>
      <c r="I10" s="16">
        <v>10594.928340930368</v>
      </c>
      <c r="J10" s="16">
        <v>12483.379188536665</v>
      </c>
      <c r="K10" s="16">
        <v>14541.092918958419</v>
      </c>
    </row>
    <row r="11" spans="1:25" x14ac:dyDescent="0.25">
      <c r="A11" s="14" t="s">
        <v>41</v>
      </c>
      <c r="B11" s="13">
        <v>12600.753395507259</v>
      </c>
      <c r="C11" s="13">
        <v>21550.67303829881</v>
      </c>
      <c r="D11" s="13">
        <v>16205.924091069488</v>
      </c>
      <c r="E11" s="13">
        <v>16188.615889309289</v>
      </c>
      <c r="F11" s="13">
        <v>16493.129016600818</v>
      </c>
      <c r="G11" s="13">
        <v>16828.245404417463</v>
      </c>
      <c r="H11" s="13">
        <v>17271.843929989693</v>
      </c>
      <c r="I11" s="13">
        <v>15659.962488298866</v>
      </c>
      <c r="J11" s="13">
        <v>17346.568603946991</v>
      </c>
      <c r="K11" s="13">
        <v>19647.470400491355</v>
      </c>
    </row>
    <row r="16" spans="1:25" x14ac:dyDescent="0.25">
      <c r="A16" s="20" t="s">
        <v>48</v>
      </c>
      <c r="B16" s="18">
        <v>2000</v>
      </c>
      <c r="C16" s="18">
        <v>2001</v>
      </c>
      <c r="D16" s="18">
        <v>2002</v>
      </c>
      <c r="E16" s="18">
        <v>2003</v>
      </c>
      <c r="F16" s="18">
        <v>2004</v>
      </c>
      <c r="G16" s="18">
        <v>2005</v>
      </c>
      <c r="H16" s="18" t="s">
        <v>46</v>
      </c>
      <c r="I16" s="18" t="s">
        <v>47</v>
      </c>
      <c r="J16" s="18" t="s">
        <v>42</v>
      </c>
      <c r="K16" s="18">
        <v>2009</v>
      </c>
      <c r="L16" s="18">
        <v>2010</v>
      </c>
      <c r="M16" s="18">
        <v>2011</v>
      </c>
      <c r="N16" s="18">
        <v>2012</v>
      </c>
      <c r="O16" s="18">
        <v>2013</v>
      </c>
      <c r="P16" s="18">
        <v>2014</v>
      </c>
      <c r="Q16" s="18">
        <v>2015</v>
      </c>
      <c r="R16" s="18">
        <v>2016</v>
      </c>
      <c r="S16" s="18">
        <v>2017</v>
      </c>
      <c r="T16" s="18">
        <v>2018</v>
      </c>
      <c r="U16" s="18">
        <v>2019</v>
      </c>
      <c r="V16" s="18">
        <v>2020</v>
      </c>
      <c r="W16" s="18">
        <v>2021</v>
      </c>
      <c r="X16" s="18" t="s">
        <v>43</v>
      </c>
      <c r="Y16" s="19"/>
    </row>
    <row r="17" spans="1:25" x14ac:dyDescent="0.25">
      <c r="A17" s="23" t="s">
        <v>49</v>
      </c>
      <c r="B17" s="21">
        <v>12600.753395507259</v>
      </c>
      <c r="C17" s="21">
        <v>13573.627503264959</v>
      </c>
      <c r="D17" s="21">
        <v>14575.507702538705</v>
      </c>
      <c r="E17" s="21">
        <v>15931.054068801974</v>
      </c>
      <c r="F17" s="21">
        <v>17243.486025963073</v>
      </c>
      <c r="G17" s="21">
        <v>17727.053891403419</v>
      </c>
      <c r="H17" s="21">
        <v>19445.66537558717</v>
      </c>
      <c r="I17" s="21">
        <v>20752.390630854083</v>
      </c>
      <c r="J17" s="21">
        <v>21550.67303829881</v>
      </c>
      <c r="K17" s="21">
        <v>21096.794948122395</v>
      </c>
      <c r="L17" s="21">
        <v>20104.558442163256</v>
      </c>
      <c r="M17" s="21">
        <v>18322.918940578809</v>
      </c>
      <c r="N17" s="21">
        <v>16831.054390710378</v>
      </c>
      <c r="O17" s="21">
        <v>16243.540419867528</v>
      </c>
      <c r="P17" s="21">
        <v>16164.679094337556</v>
      </c>
      <c r="Q17" s="21">
        <v>16205.924091069488</v>
      </c>
      <c r="R17" s="21">
        <v>16188.615889309289</v>
      </c>
      <c r="S17" s="21">
        <v>16493.129016600818</v>
      </c>
      <c r="T17" s="21">
        <v>16828.245404417463</v>
      </c>
      <c r="U17" s="21">
        <v>17271.843929989693</v>
      </c>
      <c r="V17" s="21">
        <v>15659.962488298866</v>
      </c>
      <c r="W17" s="21">
        <v>17346.568603946991</v>
      </c>
      <c r="X17" s="21">
        <v>19647.470400491355</v>
      </c>
      <c r="Y17" s="22"/>
    </row>
    <row r="18" spans="1:25" x14ac:dyDescent="0.25">
      <c r="A18" s="28" t="s">
        <v>34</v>
      </c>
      <c r="B18" s="24">
        <v>9034.5359370400365</v>
      </c>
      <c r="C18" s="24">
        <v>9944.2080551268973</v>
      </c>
      <c r="D18" s="24">
        <v>10100.056772752425</v>
      </c>
      <c r="E18" s="24">
        <v>12459.988033605603</v>
      </c>
      <c r="F18" s="24">
        <v>12547.857687845906</v>
      </c>
      <c r="G18" s="24">
        <v>13584.765276441074</v>
      </c>
      <c r="H18" s="24">
        <v>15127.883707120396</v>
      </c>
      <c r="I18" s="24">
        <v>15843.331055750799</v>
      </c>
      <c r="J18" s="24">
        <v>16747.534061661761</v>
      </c>
      <c r="K18" s="24">
        <v>16471.621281841963</v>
      </c>
      <c r="L18" s="24">
        <v>15587.047288779548</v>
      </c>
      <c r="M18" s="24">
        <v>14269.127463136263</v>
      </c>
      <c r="N18" s="24">
        <v>12995.333798791953</v>
      </c>
      <c r="O18" s="24">
        <v>12795.864858566907</v>
      </c>
      <c r="P18" s="25">
        <v>12838.904795740715</v>
      </c>
      <c r="Q18" s="25">
        <v>12687.260332079692</v>
      </c>
      <c r="R18" s="25">
        <v>12194.582764592249</v>
      </c>
      <c r="S18" s="25">
        <v>11853.235670346701</v>
      </c>
      <c r="T18" s="25">
        <v>11650.38622944796</v>
      </c>
      <c r="U18" s="25">
        <v>11313.06954236156</v>
      </c>
      <c r="V18" s="25">
        <v>9870.0668788793118</v>
      </c>
      <c r="W18" s="25">
        <v>10627.974169640347</v>
      </c>
      <c r="X18" s="26">
        <v>11882.287677093682</v>
      </c>
      <c r="Y18" s="27"/>
    </row>
    <row r="19" spans="1:25" x14ac:dyDescent="0.25">
      <c r="A19" s="28" t="s">
        <v>35</v>
      </c>
      <c r="B19" s="24">
        <v>9146.595127543922</v>
      </c>
      <c r="C19" s="24">
        <v>10076.729899958795</v>
      </c>
      <c r="D19" s="24">
        <v>10073.248711830876</v>
      </c>
      <c r="E19" s="24">
        <v>11422.326582927662</v>
      </c>
      <c r="F19" s="24">
        <v>12928.074796030185</v>
      </c>
      <c r="G19" s="24">
        <v>14457.896150848788</v>
      </c>
      <c r="H19" s="24">
        <v>16011.428465672394</v>
      </c>
      <c r="I19" s="24">
        <v>17301.551282698012</v>
      </c>
      <c r="J19" s="24">
        <v>18729.378364397802</v>
      </c>
      <c r="K19" s="24">
        <v>17740.682233126794</v>
      </c>
      <c r="L19" s="24">
        <v>16192.793318296011</v>
      </c>
      <c r="M19" s="24">
        <v>14798.792655108458</v>
      </c>
      <c r="N19" s="24">
        <v>13432.493941552379</v>
      </c>
      <c r="O19" s="24">
        <v>13001.775977958321</v>
      </c>
      <c r="P19" s="25">
        <v>13050.637488317925</v>
      </c>
      <c r="Q19" s="25">
        <v>12620.598415446631</v>
      </c>
      <c r="R19" s="25">
        <v>12280.170002505043</v>
      </c>
      <c r="S19" s="25">
        <v>11844.513863373564</v>
      </c>
      <c r="T19" s="25">
        <v>11454.25462638281</v>
      </c>
      <c r="U19" s="25">
        <v>11400.145609705492</v>
      </c>
      <c r="V19" s="25">
        <v>9677.8203029613069</v>
      </c>
      <c r="W19" s="25">
        <v>10517.92365379452</v>
      </c>
      <c r="X19" s="26">
        <v>11820.389105547772</v>
      </c>
      <c r="Y19" s="27"/>
    </row>
    <row r="20" spans="1:25" x14ac:dyDescent="0.25">
      <c r="A20" s="28" t="s">
        <v>36</v>
      </c>
      <c r="B20" s="24">
        <v>9197.3784819408738</v>
      </c>
      <c r="C20" s="24">
        <v>9584.9678432606834</v>
      </c>
      <c r="D20" s="24">
        <v>10244.026822892098</v>
      </c>
      <c r="E20" s="24">
        <v>11838.40484726111</v>
      </c>
      <c r="F20" s="24">
        <v>13046.693996515063</v>
      </c>
      <c r="G20" s="24">
        <v>12753.7334593955</v>
      </c>
      <c r="H20" s="24">
        <v>14151.694587833123</v>
      </c>
      <c r="I20" s="24">
        <v>16034.890400044113</v>
      </c>
      <c r="J20" s="24">
        <v>16705.534788290639</v>
      </c>
      <c r="K20" s="24">
        <v>16446.854512201004</v>
      </c>
      <c r="L20" s="24">
        <v>15477.184787606533</v>
      </c>
      <c r="M20" s="24">
        <v>14182.654879260203</v>
      </c>
      <c r="N20" s="24">
        <v>13434.237544979787</v>
      </c>
      <c r="O20" s="24">
        <v>12524.23174415434</v>
      </c>
      <c r="P20" s="25">
        <v>12388.404220125272</v>
      </c>
      <c r="Q20" s="25">
        <v>12084.481728865094</v>
      </c>
      <c r="R20" s="25">
        <v>11806.799298030122</v>
      </c>
      <c r="S20" s="25">
        <v>11368.357632903091</v>
      </c>
      <c r="T20" s="25">
        <v>11036.629944885877</v>
      </c>
      <c r="U20" s="25">
        <v>11299.140654323484</v>
      </c>
      <c r="V20" s="25">
        <v>10220.542154194569</v>
      </c>
      <c r="W20" s="25">
        <v>11068.383243326756</v>
      </c>
      <c r="X20" s="26">
        <v>12346.800115300155</v>
      </c>
      <c r="Y20" s="27"/>
    </row>
    <row r="21" spans="1:25" x14ac:dyDescent="0.25">
      <c r="A21" s="28" t="s">
        <v>50</v>
      </c>
      <c r="B21" s="24">
        <v>13824.715525550228</v>
      </c>
      <c r="C21" s="24">
        <v>14547.993908901999</v>
      </c>
      <c r="D21" s="24">
        <v>14325.582250227319</v>
      </c>
      <c r="E21" s="24">
        <v>15787.13659520991</v>
      </c>
      <c r="F21" s="24">
        <v>16878.346504227982</v>
      </c>
      <c r="G21" s="24">
        <v>17179.545411233128</v>
      </c>
      <c r="H21" s="24">
        <v>19047.873638764431</v>
      </c>
      <c r="I21" s="24">
        <v>19861.923064619368</v>
      </c>
      <c r="J21" s="24">
        <v>21402.366274774438</v>
      </c>
      <c r="K21" s="24">
        <v>19934.693809340137</v>
      </c>
      <c r="L21" s="24">
        <v>18913.533544609338</v>
      </c>
      <c r="M21" s="24">
        <v>17401.717581213768</v>
      </c>
      <c r="N21" s="24">
        <v>16565.875198592752</v>
      </c>
      <c r="O21" s="24">
        <v>16032.349066867639</v>
      </c>
      <c r="P21" s="25">
        <v>16009.489583929726</v>
      </c>
      <c r="Q21" s="25">
        <v>16022.515336256409</v>
      </c>
      <c r="R21" s="25">
        <v>15377.515264717447</v>
      </c>
      <c r="S21" s="25">
        <v>15401.031919377676</v>
      </c>
      <c r="T21" s="25">
        <v>15752.862155870893</v>
      </c>
      <c r="U21" s="25">
        <v>16288.23135284413</v>
      </c>
      <c r="V21" s="25">
        <v>12644.145614702858</v>
      </c>
      <c r="W21" s="25">
        <v>14308.234573126028</v>
      </c>
      <c r="X21" s="26">
        <v>16905.520564228034</v>
      </c>
      <c r="Y21" s="27"/>
    </row>
    <row r="22" spans="1:25" x14ac:dyDescent="0.25">
      <c r="A22" s="28" t="s">
        <v>45</v>
      </c>
      <c r="B22" s="24">
        <v>16088.292856203188</v>
      </c>
      <c r="C22" s="24">
        <v>16656.467562092115</v>
      </c>
      <c r="D22" s="24">
        <v>17220.552222727172</v>
      </c>
      <c r="E22" s="24">
        <v>19633.203946429494</v>
      </c>
      <c r="F22" s="24">
        <v>22159.458892401282</v>
      </c>
      <c r="G22" s="24">
        <v>24290.422765818963</v>
      </c>
      <c r="H22" s="24">
        <v>25362.447099435296</v>
      </c>
      <c r="I22" s="24">
        <v>27657.072821450391</v>
      </c>
      <c r="J22" s="24">
        <v>28976.384388253784</v>
      </c>
      <c r="K22" s="24">
        <v>27491.591442395114</v>
      </c>
      <c r="L22" s="24">
        <v>25887.017470256247</v>
      </c>
      <c r="M22" s="24">
        <v>23211.891335499309</v>
      </c>
      <c r="N22" s="24">
        <v>19945.490608815937</v>
      </c>
      <c r="O22" s="24">
        <v>22238.918328492084</v>
      </c>
      <c r="P22" s="25">
        <v>22260.454080922013</v>
      </c>
      <c r="Q22" s="25">
        <v>21289.739185381404</v>
      </c>
      <c r="R22" s="25">
        <v>20478.107321069136</v>
      </c>
      <c r="S22" s="25">
        <v>20847.475771410373</v>
      </c>
      <c r="T22" s="25">
        <v>21615.649195416965</v>
      </c>
      <c r="U22" s="25">
        <v>22103.845847342476</v>
      </c>
      <c r="V22" s="25">
        <v>17260.437372998265</v>
      </c>
      <c r="W22" s="25">
        <v>20129.295703473414</v>
      </c>
      <c r="X22" s="26">
        <v>23233.115741606704</v>
      </c>
      <c r="Y22" s="27"/>
    </row>
    <row r="23" spans="1:25" x14ac:dyDescent="0.25">
      <c r="A23" s="28" t="s">
        <v>37</v>
      </c>
      <c r="B23" s="24">
        <v>15370.455943403515</v>
      </c>
      <c r="C23" s="24">
        <v>16960.777057429415</v>
      </c>
      <c r="D23" s="24">
        <v>16516.311758315649</v>
      </c>
      <c r="E23" s="24">
        <v>19186.20108819889</v>
      </c>
      <c r="F23" s="24">
        <v>19787.058320434069</v>
      </c>
      <c r="G23" s="24">
        <v>20970.308073096123</v>
      </c>
      <c r="H23" s="24">
        <v>21978.118179686269</v>
      </c>
      <c r="I23" s="24">
        <v>23852.353503673985</v>
      </c>
      <c r="J23" s="24">
        <v>24763.408418125691</v>
      </c>
      <c r="K23" s="24">
        <v>23521.069910395698</v>
      </c>
      <c r="L23" s="24">
        <v>22307.082227104391</v>
      </c>
      <c r="M23" s="24">
        <v>18900.244147865051</v>
      </c>
      <c r="N23" s="24">
        <v>17770.221115898894</v>
      </c>
      <c r="O23" s="24">
        <v>17313.621184771313</v>
      </c>
      <c r="P23" s="25">
        <v>17612.499168548125</v>
      </c>
      <c r="Q23" s="25">
        <v>17542.271387460489</v>
      </c>
      <c r="R23" s="25">
        <v>17172.506049158797</v>
      </c>
      <c r="S23" s="25">
        <v>17471.003115394407</v>
      </c>
      <c r="T23" s="25">
        <v>18485.00911064196</v>
      </c>
      <c r="U23" s="25">
        <v>19455.310380871204</v>
      </c>
      <c r="V23" s="25">
        <v>14881.819832668138</v>
      </c>
      <c r="W23" s="25">
        <v>17088.159991378689</v>
      </c>
      <c r="X23" s="26">
        <v>20211.643016536276</v>
      </c>
      <c r="Y23" s="27"/>
    </row>
    <row r="24" spans="1:25" x14ac:dyDescent="0.25">
      <c r="A24" s="28" t="s">
        <v>38</v>
      </c>
      <c r="B24" s="24">
        <v>12423.958611285585</v>
      </c>
      <c r="C24" s="24">
        <v>13456.095972923444</v>
      </c>
      <c r="D24" s="24">
        <v>13641.805950088779</v>
      </c>
      <c r="E24" s="24">
        <v>15558.971447361784</v>
      </c>
      <c r="F24" s="24">
        <v>16676.914433227739</v>
      </c>
      <c r="G24" s="24">
        <v>17552.311411525705</v>
      </c>
      <c r="H24" s="24">
        <v>18460.381190527081</v>
      </c>
      <c r="I24" s="24">
        <v>19366.351408853599</v>
      </c>
      <c r="J24" s="24">
        <v>20880.141054608586</v>
      </c>
      <c r="K24" s="24">
        <v>19253.081153660787</v>
      </c>
      <c r="L24" s="24">
        <v>17805.755511917348</v>
      </c>
      <c r="M24" s="24">
        <v>15787.122333808253</v>
      </c>
      <c r="N24" s="24">
        <v>14438.903749342455</v>
      </c>
      <c r="O24" s="24">
        <v>14481.220397211115</v>
      </c>
      <c r="P24" s="25">
        <v>14728.633987827652</v>
      </c>
      <c r="Q24" s="25">
        <v>14587.625320624156</v>
      </c>
      <c r="R24" s="25">
        <v>14677.015685528462</v>
      </c>
      <c r="S24" s="25">
        <v>14964.161205391134</v>
      </c>
      <c r="T24" s="25">
        <v>15241.891223401102</v>
      </c>
      <c r="U24" s="25">
        <v>15571.836313515269</v>
      </c>
      <c r="V24" s="25">
        <v>12583.004669516344</v>
      </c>
      <c r="W24" s="25">
        <v>14200.983924059441</v>
      </c>
      <c r="X24" s="26">
        <v>16088.191870111714</v>
      </c>
      <c r="Y24" s="27"/>
    </row>
    <row r="25" spans="1:25" x14ac:dyDescent="0.25">
      <c r="A25" s="28" t="s">
        <v>39</v>
      </c>
      <c r="B25" s="24">
        <v>12998.876680629604</v>
      </c>
      <c r="C25" s="24">
        <v>14024.054904122435</v>
      </c>
      <c r="D25" s="24">
        <v>14093.362202843324</v>
      </c>
      <c r="E25" s="24">
        <v>16174.504158350252</v>
      </c>
      <c r="F25" s="24">
        <v>18115.014313502248</v>
      </c>
      <c r="G25" s="24">
        <v>19043.780755226191</v>
      </c>
      <c r="H25" s="24">
        <v>20732.972455800664</v>
      </c>
      <c r="I25" s="24">
        <v>22711.263953962938</v>
      </c>
      <c r="J25" s="24">
        <v>23202.855270793047</v>
      </c>
      <c r="K25" s="24">
        <v>21330.974103180029</v>
      </c>
      <c r="L25" s="24">
        <v>20472.979406245322</v>
      </c>
      <c r="M25" s="24">
        <v>16933.476053127928</v>
      </c>
      <c r="N25" s="24">
        <v>15595.847572442335</v>
      </c>
      <c r="O25" s="24">
        <v>15020.10052013343</v>
      </c>
      <c r="P25" s="25">
        <v>15446.892409679887</v>
      </c>
      <c r="Q25" s="25">
        <v>14614.248040778009</v>
      </c>
      <c r="R25" s="25">
        <v>14460.862312209161</v>
      </c>
      <c r="S25" s="25">
        <v>14740.306205213234</v>
      </c>
      <c r="T25" s="25">
        <v>14950.055936649982</v>
      </c>
      <c r="U25" s="25">
        <v>15344.611732460564</v>
      </c>
      <c r="V25" s="25">
        <v>12214.922024279034</v>
      </c>
      <c r="W25" s="25">
        <v>14036.968725077919</v>
      </c>
      <c r="X25" s="26">
        <v>17076.473089047478</v>
      </c>
      <c r="Y25" s="27"/>
    </row>
    <row r="26" spans="1:25" x14ac:dyDescent="0.25">
      <c r="A26" s="28" t="s">
        <v>40</v>
      </c>
      <c r="B26" s="24">
        <v>8264.4698390198027</v>
      </c>
      <c r="C26" s="24">
        <v>9228.4632023845425</v>
      </c>
      <c r="D26" s="24">
        <v>9477.7473480481785</v>
      </c>
      <c r="E26" s="24">
        <v>10542.371836076349</v>
      </c>
      <c r="F26" s="24">
        <v>11617.334865559589</v>
      </c>
      <c r="G26" s="24">
        <v>12647.380270344034</v>
      </c>
      <c r="H26" s="24">
        <v>13940.887404947252</v>
      </c>
      <c r="I26" s="24">
        <v>14561.573755682813</v>
      </c>
      <c r="J26" s="24">
        <v>14805.835292034897</v>
      </c>
      <c r="K26" s="24">
        <v>15574.332182640001</v>
      </c>
      <c r="L26" s="24">
        <v>15956.166238177364</v>
      </c>
      <c r="M26" s="24">
        <v>13828.42252816102</v>
      </c>
      <c r="N26" s="24">
        <v>12812.977195761358</v>
      </c>
      <c r="O26" s="24">
        <v>12573.12572824304</v>
      </c>
      <c r="P26" s="25">
        <v>12377.920984364673</v>
      </c>
      <c r="Q26" s="25">
        <v>12095.329752778294</v>
      </c>
      <c r="R26" s="25">
        <v>12008.935674929893</v>
      </c>
      <c r="S26" s="25">
        <v>12007.679582044973</v>
      </c>
      <c r="T26" s="25">
        <v>12706.230369734665</v>
      </c>
      <c r="U26" s="25">
        <v>13101.679959072828</v>
      </c>
      <c r="V26" s="25">
        <v>10594.928340930368</v>
      </c>
      <c r="W26" s="25">
        <v>12483.379188536665</v>
      </c>
      <c r="X26" s="26">
        <v>14541.092918958419</v>
      </c>
      <c r="Y26" s="27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BF1DF3-8ADA-4F77-96A8-7FD8E9C4C22E}">
  <dimension ref="A1:K31"/>
  <sheetViews>
    <sheetView topLeftCell="A12" workbookViewId="0">
      <selection activeCell="B31" sqref="B31:K31"/>
    </sheetView>
  </sheetViews>
  <sheetFormatPr defaultRowHeight="15" x14ac:dyDescent="0.25"/>
  <sheetData>
    <row r="1" spans="1:11" x14ac:dyDescent="0.25">
      <c r="B1">
        <v>2000</v>
      </c>
      <c r="C1">
        <v>2005</v>
      </c>
      <c r="D1">
        <v>2008</v>
      </c>
      <c r="E1">
        <v>2010</v>
      </c>
      <c r="F1">
        <v>2013</v>
      </c>
      <c r="G1">
        <v>2015</v>
      </c>
      <c r="H1">
        <v>2019</v>
      </c>
      <c r="I1">
        <v>2020</v>
      </c>
      <c r="J1">
        <v>2021</v>
      </c>
      <c r="K1">
        <v>2022</v>
      </c>
    </row>
    <row r="2" spans="1:11" x14ac:dyDescent="0.25">
      <c r="A2" s="29" t="s">
        <v>51</v>
      </c>
      <c r="B2" s="34">
        <v>236.06440525001537</v>
      </c>
      <c r="C2" s="34">
        <v>232.33416750000177</v>
      </c>
      <c r="D2" s="34">
        <v>235.05625749999498</v>
      </c>
      <c r="E2" s="34">
        <v>225.60429000000843</v>
      </c>
      <c r="F2" s="34">
        <v>187.40535250000059</v>
      </c>
      <c r="G2" s="34">
        <v>197.90094250000107</v>
      </c>
      <c r="H2" s="34">
        <v>214.64723000000126</v>
      </c>
      <c r="I2" s="34">
        <v>203.59345749999764</v>
      </c>
      <c r="J2" s="34">
        <v>200.3</v>
      </c>
      <c r="K2" s="34">
        <v>213.6</v>
      </c>
    </row>
    <row r="3" spans="1:11" x14ac:dyDescent="0.25">
      <c r="A3" s="29" t="s">
        <v>52</v>
      </c>
      <c r="B3" s="34">
        <v>696.64221499992016</v>
      </c>
      <c r="C3" s="34">
        <v>731.83484000001386</v>
      </c>
      <c r="D3" s="34">
        <v>760.49618999999802</v>
      </c>
      <c r="E3" s="34">
        <v>714.82938499997772</v>
      </c>
      <c r="F3" s="34">
        <v>553.60278250000977</v>
      </c>
      <c r="G3" s="34">
        <v>600.75603999999748</v>
      </c>
      <c r="H3" s="34">
        <v>642.69131749999849</v>
      </c>
      <c r="I3" s="34">
        <v>638.81959750000601</v>
      </c>
      <c r="J3" s="34">
        <v>643</v>
      </c>
      <c r="K3" s="34">
        <v>682.7</v>
      </c>
    </row>
    <row r="4" spans="1:11" x14ac:dyDescent="0.25">
      <c r="A4" s="29" t="s">
        <v>53</v>
      </c>
      <c r="B4" s="34">
        <v>100.98106224999918</v>
      </c>
      <c r="C4" s="34">
        <v>97.834622500000435</v>
      </c>
      <c r="D4" s="34">
        <v>104.48748749999923</v>
      </c>
      <c r="E4" s="34">
        <v>100.15815249999874</v>
      </c>
      <c r="F4" s="34">
        <v>77.09813000000004</v>
      </c>
      <c r="G4" s="34">
        <v>81.243449999999683</v>
      </c>
      <c r="H4" s="34">
        <v>87.084712500000336</v>
      </c>
      <c r="I4" s="34">
        <v>87.115864999999857</v>
      </c>
      <c r="J4" s="34">
        <v>89.7</v>
      </c>
      <c r="K4" s="34">
        <v>89</v>
      </c>
    </row>
    <row r="5" spans="1:11" x14ac:dyDescent="0.25">
      <c r="A5" s="29" t="s">
        <v>54</v>
      </c>
      <c r="B5" s="34">
        <v>123.27533350000073</v>
      </c>
      <c r="C5" s="34">
        <v>127.32180749999765</v>
      </c>
      <c r="D5" s="34">
        <v>134.59863499999793</v>
      </c>
      <c r="E5" s="34">
        <v>133.28175749999943</v>
      </c>
      <c r="F5" s="34">
        <v>103.91850500000133</v>
      </c>
      <c r="G5" s="34">
        <v>105.27198249999962</v>
      </c>
      <c r="H5" s="34">
        <v>112.74817999999962</v>
      </c>
      <c r="I5" s="34">
        <v>108.75282999999999</v>
      </c>
      <c r="J5" s="34">
        <v>103.9</v>
      </c>
      <c r="K5" s="34">
        <v>117.8</v>
      </c>
    </row>
    <row r="6" spans="1:11" x14ac:dyDescent="0.25">
      <c r="A6" s="29" t="s">
        <v>55</v>
      </c>
      <c r="B6" s="34">
        <v>273.13378499998731</v>
      </c>
      <c r="C6" s="34">
        <v>302.06819499999864</v>
      </c>
      <c r="D6" s="34">
        <v>304.01094500000698</v>
      </c>
      <c r="E6" s="34">
        <v>293.28623499999964</v>
      </c>
      <c r="F6" s="34">
        <v>235.46627750000169</v>
      </c>
      <c r="G6" s="34">
        <v>229.7658700000014</v>
      </c>
      <c r="H6" s="34">
        <v>253.24794749999884</v>
      </c>
      <c r="I6" s="34">
        <v>252.0710899999988</v>
      </c>
      <c r="J6" s="34">
        <v>257.7</v>
      </c>
      <c r="K6" s="34">
        <v>269.60000000000002</v>
      </c>
    </row>
    <row r="7" spans="1:11" x14ac:dyDescent="0.25">
      <c r="A7" s="29" t="s">
        <v>56</v>
      </c>
      <c r="B7" s="34">
        <v>84.084086000002799</v>
      </c>
      <c r="C7" s="34">
        <v>85.371722500001269</v>
      </c>
      <c r="D7" s="34">
        <v>87.647864999999584</v>
      </c>
      <c r="E7" s="34">
        <v>82.169890000000564</v>
      </c>
      <c r="F7" s="34">
        <v>75.230790000000411</v>
      </c>
      <c r="G7" s="34">
        <v>72.98354500000012</v>
      </c>
      <c r="H7" s="34">
        <v>77.187649999999962</v>
      </c>
      <c r="I7" s="34">
        <v>72.074164999999923</v>
      </c>
      <c r="J7" s="34">
        <v>72.3</v>
      </c>
      <c r="K7" s="34">
        <v>74.7</v>
      </c>
    </row>
    <row r="8" spans="1:11" x14ac:dyDescent="0.25">
      <c r="A8" s="29" t="s">
        <v>57</v>
      </c>
      <c r="B8" s="34">
        <v>265.96053124999497</v>
      </c>
      <c r="C8" s="34">
        <v>258.37318500001533</v>
      </c>
      <c r="D8" s="34">
        <v>264.71726249999705</v>
      </c>
      <c r="E8" s="34">
        <v>262.34129749999744</v>
      </c>
      <c r="F8" s="34">
        <v>202.68997249999981</v>
      </c>
      <c r="G8" s="34">
        <v>206.1913800000016</v>
      </c>
      <c r="H8" s="34">
        <v>214.68292749999867</v>
      </c>
      <c r="I8" s="34">
        <v>216.61580249999875</v>
      </c>
      <c r="J8" s="34">
        <v>230.7</v>
      </c>
      <c r="K8" s="34">
        <v>241.1</v>
      </c>
    </row>
    <row r="9" spans="1:11" x14ac:dyDescent="0.25">
      <c r="A9" s="29" t="s">
        <v>58</v>
      </c>
      <c r="B9" s="34">
        <v>197.49120599999759</v>
      </c>
      <c r="C9" s="34">
        <v>214.64248500001116</v>
      </c>
      <c r="D9" s="34">
        <v>220.7707775000022</v>
      </c>
      <c r="E9" s="34">
        <v>213.14245749999375</v>
      </c>
      <c r="F9" s="34">
        <v>171.31002249999861</v>
      </c>
      <c r="G9" s="34">
        <v>181.00687499999881</v>
      </c>
      <c r="H9" s="34">
        <v>194.16836999999941</v>
      </c>
      <c r="I9" s="34">
        <v>188.85256249999711</v>
      </c>
      <c r="J9" s="34">
        <v>192.2</v>
      </c>
      <c r="K9" s="34">
        <v>209.1</v>
      </c>
    </row>
    <row r="10" spans="1:11" x14ac:dyDescent="0.25">
      <c r="A10" s="29" t="s">
        <v>59</v>
      </c>
      <c r="B10" s="34">
        <v>1444.8682342498</v>
      </c>
      <c r="C10" s="34">
        <v>1702.2898399999513</v>
      </c>
      <c r="D10" s="34">
        <v>1780.6050474999954</v>
      </c>
      <c r="E10" s="34">
        <v>1672.3741025000418</v>
      </c>
      <c r="F10" s="34">
        <v>1312.0151650000053</v>
      </c>
      <c r="G10" s="34">
        <v>1335.895995000003</v>
      </c>
      <c r="H10" s="34">
        <v>1442.3663500000132</v>
      </c>
      <c r="I10" s="34">
        <v>1471.7111274999886</v>
      </c>
      <c r="J10" s="34">
        <v>1506.2</v>
      </c>
      <c r="K10" s="34">
        <v>1575.4</v>
      </c>
    </row>
    <row r="11" spans="1:11" x14ac:dyDescent="0.25">
      <c r="A11" s="29" t="s">
        <v>60</v>
      </c>
      <c r="B11" s="34">
        <v>236.21511524999514</v>
      </c>
      <c r="C11" s="34">
        <v>226.51537000000482</v>
      </c>
      <c r="D11" s="34">
        <v>240.38091249999769</v>
      </c>
      <c r="E11" s="34">
        <v>228.80581750000076</v>
      </c>
      <c r="F11" s="34">
        <v>191.26708000000087</v>
      </c>
      <c r="G11" s="34">
        <v>193.23690500000009</v>
      </c>
      <c r="H11" s="34">
        <v>211.43118250000211</v>
      </c>
      <c r="I11" s="34">
        <v>213.93039249999717</v>
      </c>
      <c r="J11" s="34">
        <v>212</v>
      </c>
      <c r="K11" s="34">
        <v>216.4</v>
      </c>
    </row>
    <row r="12" spans="1:11" x14ac:dyDescent="0.25">
      <c r="A12" s="29" t="s">
        <v>61</v>
      </c>
      <c r="B12" s="34">
        <v>65.429977000000832</v>
      </c>
      <c r="C12" s="34">
        <v>70.625732500000098</v>
      </c>
      <c r="D12" s="34">
        <v>70.823634999999953</v>
      </c>
      <c r="E12" s="34">
        <v>71.633410000000694</v>
      </c>
      <c r="F12" s="34">
        <v>65.649332500000327</v>
      </c>
      <c r="G12" s="34">
        <v>64.966532500000156</v>
      </c>
      <c r="H12" s="34">
        <v>74.816745000000211</v>
      </c>
      <c r="I12" s="34">
        <v>72.81334749999985</v>
      </c>
      <c r="J12" s="34">
        <v>71.900000000000006</v>
      </c>
      <c r="K12" s="34">
        <v>74.599999999999994</v>
      </c>
    </row>
    <row r="13" spans="1:11" x14ac:dyDescent="0.25">
      <c r="A13" s="29" t="s">
        <v>62</v>
      </c>
      <c r="B13" s="34">
        <v>110.408443749998</v>
      </c>
      <c r="C13" s="34">
        <v>130.6130475000019</v>
      </c>
      <c r="D13" s="34">
        <v>136.47927500000006</v>
      </c>
      <c r="E13" s="34">
        <v>131.44385250000033</v>
      </c>
      <c r="F13" s="34">
        <v>122.78598999999971</v>
      </c>
      <c r="G13" s="34">
        <v>132.33938000000083</v>
      </c>
      <c r="H13" s="34">
        <v>132.97290999999964</v>
      </c>
      <c r="I13" s="34">
        <v>117.63579250000039</v>
      </c>
      <c r="J13" s="34">
        <v>117.4</v>
      </c>
      <c r="K13" s="34">
        <v>126.1</v>
      </c>
    </row>
    <row r="14" spans="1:11" x14ac:dyDescent="0.25">
      <c r="A14" s="30" t="s">
        <v>63</v>
      </c>
      <c r="B14" s="36">
        <v>253.91522600000604</v>
      </c>
      <c r="C14" s="36">
        <v>263.73794999999632</v>
      </c>
      <c r="D14" s="36">
        <v>270.39002750000361</v>
      </c>
      <c r="E14" s="36">
        <v>260.68325500000594</v>
      </c>
      <c r="F14" s="36">
        <v>214.75787500000305</v>
      </c>
      <c r="G14" s="36">
        <v>209.13366749999858</v>
      </c>
      <c r="H14" s="36">
        <v>252.98447000000175</v>
      </c>
      <c r="I14" s="36">
        <v>231.49297499999838</v>
      </c>
      <c r="J14" s="36">
        <v>230.6</v>
      </c>
      <c r="K14" s="36">
        <v>250.5</v>
      </c>
    </row>
    <row r="15" spans="1:11" x14ac:dyDescent="0.25">
      <c r="A15" s="29" t="s">
        <v>64</v>
      </c>
      <c r="B15" s="35">
        <v>4088.4696205000951</v>
      </c>
      <c r="C15" s="35">
        <v>4443.5629649999273</v>
      </c>
      <c r="D15" s="35">
        <v>4610.4643175000529</v>
      </c>
      <c r="E15" s="35">
        <v>4389.7539024999469</v>
      </c>
      <c r="F15" s="35">
        <v>3513.1972749999732</v>
      </c>
      <c r="G15" s="35">
        <v>3610.6925649999803</v>
      </c>
      <c r="H15" s="35">
        <v>3911.0299924998121</v>
      </c>
      <c r="I15" s="35">
        <v>3875.4790050001584</v>
      </c>
      <c r="J15" s="35">
        <v>3928</v>
      </c>
      <c r="K15" s="35">
        <v>4140.6000000000004</v>
      </c>
    </row>
    <row r="16" spans="1:11" x14ac:dyDescent="0.25">
      <c r="A16" s="33"/>
      <c r="B16" s="32"/>
      <c r="C16" s="32"/>
      <c r="D16" s="32"/>
      <c r="E16" s="32"/>
      <c r="F16" s="32"/>
      <c r="G16" s="32"/>
      <c r="H16" s="32"/>
      <c r="I16" s="32"/>
      <c r="J16" s="32"/>
      <c r="K16" s="32"/>
    </row>
    <row r="17" spans="1:11" x14ac:dyDescent="0.25">
      <c r="B17">
        <v>2000</v>
      </c>
      <c r="C17">
        <v>2005</v>
      </c>
      <c r="D17">
        <v>2008</v>
      </c>
      <c r="E17">
        <v>2010</v>
      </c>
      <c r="F17">
        <v>2013</v>
      </c>
      <c r="G17">
        <v>2015</v>
      </c>
      <c r="H17">
        <v>2019</v>
      </c>
      <c r="I17">
        <v>2020</v>
      </c>
      <c r="J17">
        <v>2021</v>
      </c>
      <c r="K17">
        <v>2022</v>
      </c>
    </row>
    <row r="18" spans="1:11" x14ac:dyDescent="0.25">
      <c r="A18" s="29" t="s">
        <v>51</v>
      </c>
      <c r="B18" s="31">
        <f>(B2/236.1)*100</f>
        <v>99.984923867012014</v>
      </c>
      <c r="C18" s="31">
        <f t="shared" ref="C18:K18" si="0">(C2/236.1)*100</f>
        <v>98.40498411690038</v>
      </c>
      <c r="D18" s="31">
        <f t="shared" si="0"/>
        <v>99.557923549341382</v>
      </c>
      <c r="E18" s="31">
        <f t="shared" si="0"/>
        <v>95.554548919952751</v>
      </c>
      <c r="F18" s="31">
        <f t="shared" si="0"/>
        <v>79.375414019483529</v>
      </c>
      <c r="G18" s="31">
        <f t="shared" si="0"/>
        <v>83.820814273613337</v>
      </c>
      <c r="H18" s="31">
        <f t="shared" si="0"/>
        <v>90.913693350275835</v>
      </c>
      <c r="I18" s="31">
        <f t="shared" si="0"/>
        <v>86.231875264717345</v>
      </c>
      <c r="J18" s="31">
        <f t="shared" si="0"/>
        <v>84.83693350275307</v>
      </c>
      <c r="K18" s="31">
        <f t="shared" si="0"/>
        <v>90.470139771283357</v>
      </c>
    </row>
    <row r="19" spans="1:11" x14ac:dyDescent="0.25">
      <c r="A19" s="29" t="s">
        <v>52</v>
      </c>
      <c r="B19" s="31">
        <f>(B3/696.6)*100</f>
        <v>100.00606014928512</v>
      </c>
      <c r="C19" s="31">
        <f t="shared" ref="C19:K19" si="1">(C3/696.6)*100</f>
        <v>105.05811656618056</v>
      </c>
      <c r="D19" s="31">
        <f t="shared" si="1"/>
        <v>109.17257967269566</v>
      </c>
      <c r="E19" s="31">
        <f t="shared" si="1"/>
        <v>102.61690855583947</v>
      </c>
      <c r="F19" s="31">
        <f t="shared" si="1"/>
        <v>79.472119221936509</v>
      </c>
      <c r="G19" s="31">
        <f t="shared" si="1"/>
        <v>86.241177146138028</v>
      </c>
      <c r="H19" s="31">
        <f t="shared" si="1"/>
        <v>92.261171045075869</v>
      </c>
      <c r="I19" s="31">
        <f t="shared" si="1"/>
        <v>91.705368575941137</v>
      </c>
      <c r="J19" s="31">
        <f t="shared" si="1"/>
        <v>92.305483778351999</v>
      </c>
      <c r="K19" s="31">
        <f t="shared" si="1"/>
        <v>98.004593741027861</v>
      </c>
    </row>
    <row r="20" spans="1:11" x14ac:dyDescent="0.25">
      <c r="A20" s="29" t="s">
        <v>53</v>
      </c>
      <c r="B20" s="31">
        <f>(B4/101)*100</f>
        <v>99.98124975247444</v>
      </c>
      <c r="C20" s="31">
        <f t="shared" ref="C20:K20" si="2">(C4/101)*100</f>
        <v>96.865962871287564</v>
      </c>
      <c r="D20" s="31">
        <f t="shared" si="2"/>
        <v>103.45295792079132</v>
      </c>
      <c r="E20" s="31">
        <f t="shared" si="2"/>
        <v>99.166487623761128</v>
      </c>
      <c r="F20" s="31">
        <f t="shared" si="2"/>
        <v>76.334782178217864</v>
      </c>
      <c r="G20" s="31">
        <f t="shared" si="2"/>
        <v>80.439059405940284</v>
      </c>
      <c r="H20" s="31">
        <f t="shared" si="2"/>
        <v>86.222487623762717</v>
      </c>
      <c r="I20" s="31">
        <f t="shared" si="2"/>
        <v>86.25333168316817</v>
      </c>
      <c r="J20" s="31">
        <f t="shared" si="2"/>
        <v>88.811881188118818</v>
      </c>
      <c r="K20" s="31">
        <f t="shared" si="2"/>
        <v>88.118811881188122</v>
      </c>
    </row>
    <row r="21" spans="1:11" x14ac:dyDescent="0.25">
      <c r="A21" s="29" t="s">
        <v>54</v>
      </c>
      <c r="B21" s="31">
        <f>(B5/123.3)*100</f>
        <v>99.979994728305542</v>
      </c>
      <c r="C21" s="31">
        <f t="shared" ref="C21:K21" si="3">(C5/123.3)*100</f>
        <v>103.26180656934116</v>
      </c>
      <c r="D21" s="31">
        <f t="shared" si="3"/>
        <v>109.16353203568366</v>
      </c>
      <c r="E21" s="31">
        <f t="shared" si="3"/>
        <v>108.09550486617958</v>
      </c>
      <c r="F21" s="31">
        <f t="shared" si="3"/>
        <v>84.281025952961343</v>
      </c>
      <c r="G21" s="31">
        <f t="shared" si="3"/>
        <v>85.378736820762072</v>
      </c>
      <c r="H21" s="31">
        <f t="shared" si="3"/>
        <v>91.442157339821279</v>
      </c>
      <c r="I21" s="31">
        <f t="shared" si="3"/>
        <v>88.20180859691807</v>
      </c>
      <c r="J21" s="31">
        <f t="shared" si="3"/>
        <v>84.26601784266019</v>
      </c>
      <c r="K21" s="31">
        <f t="shared" si="3"/>
        <v>95.539334955393358</v>
      </c>
    </row>
    <row r="22" spans="1:11" x14ac:dyDescent="0.25">
      <c r="A22" s="29" t="s">
        <v>55</v>
      </c>
      <c r="B22" s="31">
        <f>(B6/273.1)*100</f>
        <v>100.01237092639592</v>
      </c>
      <c r="C22" s="31">
        <f t="shared" ref="C22:K22" si="4">(C6/273.1)*100</f>
        <v>110.60717502746196</v>
      </c>
      <c r="D22" s="31">
        <f t="shared" si="4"/>
        <v>111.31854448920065</v>
      </c>
      <c r="E22" s="31">
        <f t="shared" si="4"/>
        <v>107.39151775906248</v>
      </c>
      <c r="F22" s="31">
        <f t="shared" si="4"/>
        <v>86.219801354815701</v>
      </c>
      <c r="G22" s="31">
        <f t="shared" si="4"/>
        <v>84.132504577078507</v>
      </c>
      <c r="H22" s="31">
        <f t="shared" si="4"/>
        <v>92.730848590259555</v>
      </c>
      <c r="I22" s="31">
        <f t="shared" si="4"/>
        <v>92.299923105089263</v>
      </c>
      <c r="J22" s="31">
        <f t="shared" si="4"/>
        <v>94.361039912120091</v>
      </c>
      <c r="K22" s="31">
        <f t="shared" si="4"/>
        <v>98.718418161845477</v>
      </c>
    </row>
    <row r="23" spans="1:11" x14ac:dyDescent="0.25">
      <c r="A23" s="29" t="s">
        <v>56</v>
      </c>
      <c r="B23" s="31">
        <f>(B7/84.1)*100</f>
        <v>99.981077288945073</v>
      </c>
      <c r="C23" s="31">
        <f t="shared" ref="C23:K23" si="5">(C7/84.1)*100</f>
        <v>101.51215517241532</v>
      </c>
      <c r="D23" s="31">
        <f t="shared" si="5"/>
        <v>104.21862663495789</v>
      </c>
      <c r="E23" s="31">
        <f t="shared" si="5"/>
        <v>97.704982164091049</v>
      </c>
      <c r="F23" s="31">
        <f t="shared" si="5"/>
        <v>89.453971462545084</v>
      </c>
      <c r="G23" s="31">
        <f t="shared" si="5"/>
        <v>86.781860879905025</v>
      </c>
      <c r="H23" s="31">
        <f t="shared" si="5"/>
        <v>91.780796670630167</v>
      </c>
      <c r="I23" s="31">
        <f t="shared" si="5"/>
        <v>85.700552913198493</v>
      </c>
      <c r="J23" s="31">
        <f t="shared" si="5"/>
        <v>85.969084423305588</v>
      </c>
      <c r="K23" s="31">
        <f t="shared" si="5"/>
        <v>88.822829964328193</v>
      </c>
    </row>
    <row r="24" spans="1:11" x14ac:dyDescent="0.25">
      <c r="A24" s="29" t="s">
        <v>57</v>
      </c>
      <c r="B24" s="31">
        <f>(B8/266)*100</f>
        <v>99.985162124058263</v>
      </c>
      <c r="C24" s="31">
        <f t="shared" ref="C24:K24" si="6">(C8/266)*100</f>
        <v>97.132776315795226</v>
      </c>
      <c r="D24" s="31">
        <f t="shared" si="6"/>
        <v>99.517767857141749</v>
      </c>
      <c r="E24" s="31">
        <f t="shared" si="6"/>
        <v>98.624547932329861</v>
      </c>
      <c r="F24" s="31">
        <f t="shared" si="6"/>
        <v>76.199237781954821</v>
      </c>
      <c r="G24" s="31">
        <f t="shared" si="6"/>
        <v>77.515556390978048</v>
      </c>
      <c r="H24" s="31">
        <f t="shared" si="6"/>
        <v>80.707867481202513</v>
      </c>
      <c r="I24" s="31">
        <f t="shared" si="6"/>
        <v>81.434512218044645</v>
      </c>
      <c r="J24" s="31">
        <f t="shared" si="6"/>
        <v>86.729323308270665</v>
      </c>
      <c r="K24" s="31">
        <f t="shared" si="6"/>
        <v>90.639097744360896</v>
      </c>
    </row>
    <row r="25" spans="1:11" x14ac:dyDescent="0.25">
      <c r="A25" s="29" t="s">
        <v>58</v>
      </c>
      <c r="B25" s="31">
        <f>(B9/197.5)*100</f>
        <v>99.99554734177093</v>
      </c>
      <c r="C25" s="31">
        <f t="shared" ref="C25:K25" si="7">(C9/197.5)*100</f>
        <v>108.67973924051198</v>
      </c>
      <c r="D25" s="31">
        <f t="shared" si="7"/>
        <v>111.78267215189986</v>
      </c>
      <c r="E25" s="31">
        <f t="shared" si="7"/>
        <v>107.92023164556646</v>
      </c>
      <c r="F25" s="31">
        <f t="shared" si="7"/>
        <v>86.739251898733471</v>
      </c>
      <c r="G25" s="31">
        <f t="shared" si="7"/>
        <v>91.649050632910786</v>
      </c>
      <c r="H25" s="31">
        <f t="shared" si="7"/>
        <v>98.313098734176918</v>
      </c>
      <c r="I25" s="31">
        <f t="shared" si="7"/>
        <v>95.62155063290993</v>
      </c>
      <c r="J25" s="31">
        <f t="shared" si="7"/>
        <v>97.316455696202524</v>
      </c>
      <c r="K25" s="31">
        <f t="shared" si="7"/>
        <v>105.87341772151899</v>
      </c>
    </row>
    <row r="26" spans="1:11" x14ac:dyDescent="0.25">
      <c r="A26" s="29" t="s">
        <v>59</v>
      </c>
      <c r="B26" s="31">
        <f>(B10/1444.9)*100</f>
        <v>99.997801526043318</v>
      </c>
      <c r="C26" s="31">
        <f t="shared" ref="C26:K26" si="8">(C10/1444.9)*100</f>
        <v>117.81367845525304</v>
      </c>
      <c r="D26" s="31">
        <f t="shared" si="8"/>
        <v>123.23379109280887</v>
      </c>
      <c r="E26" s="31">
        <f t="shared" si="8"/>
        <v>115.74324191985892</v>
      </c>
      <c r="F26" s="31">
        <f t="shared" si="8"/>
        <v>90.803181189009976</v>
      </c>
      <c r="G26" s="31">
        <f t="shared" si="8"/>
        <v>92.455948162502793</v>
      </c>
      <c r="H26" s="31">
        <f t="shared" si="8"/>
        <v>99.824648764621287</v>
      </c>
      <c r="I26" s="31">
        <f t="shared" si="8"/>
        <v>101.85556976261255</v>
      </c>
      <c r="J26" s="31">
        <f t="shared" si="8"/>
        <v>104.24250813205065</v>
      </c>
      <c r="K26" s="31">
        <f t="shared" si="8"/>
        <v>109.03176690428403</v>
      </c>
    </row>
    <row r="27" spans="1:11" x14ac:dyDescent="0.25">
      <c r="A27" s="29" t="s">
        <v>60</v>
      </c>
      <c r="B27" s="31">
        <f>(B11/236.2)*100</f>
        <v>100.0063993437744</v>
      </c>
      <c r="C27" s="31">
        <f t="shared" ref="C27:K27" si="9">(C11/236.2)*100</f>
        <v>95.899817950891119</v>
      </c>
      <c r="D27" s="31">
        <f t="shared" si="9"/>
        <v>101.77007303132841</v>
      </c>
      <c r="E27" s="31">
        <f t="shared" si="9"/>
        <v>96.869524767146814</v>
      </c>
      <c r="F27" s="31">
        <f t="shared" si="9"/>
        <v>80.976748518205284</v>
      </c>
      <c r="G27" s="31">
        <f t="shared" si="9"/>
        <v>81.810713378492849</v>
      </c>
      <c r="H27" s="31">
        <f t="shared" si="9"/>
        <v>89.513625105843403</v>
      </c>
      <c r="I27" s="31">
        <f t="shared" si="9"/>
        <v>90.57171570702674</v>
      </c>
      <c r="J27" s="31">
        <f t="shared" si="9"/>
        <v>89.75444538526672</v>
      </c>
      <c r="K27" s="31">
        <f t="shared" si="9"/>
        <v>91.617273497036408</v>
      </c>
    </row>
    <row r="28" spans="1:11" x14ac:dyDescent="0.25">
      <c r="A28" s="29" t="s">
        <v>61</v>
      </c>
      <c r="B28" s="31">
        <f>(B12/65.4)*100</f>
        <v>100.04583639143858</v>
      </c>
      <c r="C28" s="31">
        <f t="shared" ref="C28:K28" si="10">(C12/65.4)*100</f>
        <v>107.9904166666668</v>
      </c>
      <c r="D28" s="31">
        <f t="shared" si="10"/>
        <v>108.29301987767576</v>
      </c>
      <c r="E28" s="31">
        <f t="shared" si="10"/>
        <v>109.53120795107138</v>
      </c>
      <c r="F28" s="31">
        <f t="shared" si="10"/>
        <v>100.38124235474055</v>
      </c>
      <c r="G28" s="31">
        <f t="shared" si="10"/>
        <v>99.337205657492589</v>
      </c>
      <c r="H28" s="31">
        <f t="shared" si="10"/>
        <v>114.39869266055076</v>
      </c>
      <c r="I28" s="31">
        <f t="shared" si="10"/>
        <v>111.33539373088661</v>
      </c>
      <c r="J28" s="31">
        <f t="shared" si="10"/>
        <v>109.93883792048929</v>
      </c>
      <c r="K28" s="31">
        <f t="shared" si="10"/>
        <v>114.06727828746175</v>
      </c>
    </row>
    <row r="29" spans="1:11" x14ac:dyDescent="0.25">
      <c r="A29" s="29" t="s">
        <v>62</v>
      </c>
      <c r="B29" s="31">
        <f>(B13/110.4)*100</f>
        <v>100.00764832427353</v>
      </c>
      <c r="C29" s="31">
        <f t="shared" ref="C29:K29" si="11">(C13/110.4)*100</f>
        <v>118.30891983695824</v>
      </c>
      <c r="D29" s="31">
        <f t="shared" si="11"/>
        <v>123.62253170289858</v>
      </c>
      <c r="E29" s="31">
        <f t="shared" si="11"/>
        <v>119.06146059782638</v>
      </c>
      <c r="F29" s="31">
        <f t="shared" si="11"/>
        <v>111.21919384057945</v>
      </c>
      <c r="G29" s="31">
        <f t="shared" si="11"/>
        <v>119.87262681159494</v>
      </c>
      <c r="H29" s="31">
        <f t="shared" si="11"/>
        <v>120.44647644927504</v>
      </c>
      <c r="I29" s="31">
        <f t="shared" si="11"/>
        <v>106.55415987318875</v>
      </c>
      <c r="J29" s="31">
        <f t="shared" si="11"/>
        <v>106.34057971014492</v>
      </c>
      <c r="K29" s="31">
        <f t="shared" si="11"/>
        <v>114.22101449275361</v>
      </c>
    </row>
    <row r="30" spans="1:11" x14ac:dyDescent="0.25">
      <c r="A30" s="30" t="s">
        <v>63</v>
      </c>
      <c r="B30" s="31">
        <f>(B14/253.9)*100</f>
        <v>100.00599684915559</v>
      </c>
      <c r="C30" s="31">
        <f t="shared" ref="C30:K30" si="12">(C14/253.9)*100</f>
        <v>103.87473414730064</v>
      </c>
      <c r="D30" s="31">
        <f t="shared" si="12"/>
        <v>106.49469377707901</v>
      </c>
      <c r="E30" s="31">
        <f t="shared" si="12"/>
        <v>102.67162465537847</v>
      </c>
      <c r="F30" s="31">
        <f t="shared" si="12"/>
        <v>84.583645135881468</v>
      </c>
      <c r="G30" s="31">
        <f t="shared" si="12"/>
        <v>82.368518117368481</v>
      </c>
      <c r="H30" s="31">
        <f t="shared" si="12"/>
        <v>99.639413154786041</v>
      </c>
      <c r="I30" s="31">
        <f t="shared" si="12"/>
        <v>91.174862150452299</v>
      </c>
      <c r="J30" s="31">
        <f t="shared" si="12"/>
        <v>90.823158723907056</v>
      </c>
      <c r="K30" s="31">
        <f t="shared" si="12"/>
        <v>98.660890114218191</v>
      </c>
    </row>
    <row r="31" spans="1:11" x14ac:dyDescent="0.25">
      <c r="A31" s="29" t="s">
        <v>64</v>
      </c>
      <c r="B31" s="31">
        <f>(B15/4088.5)*100</f>
        <v>99.99925695242986</v>
      </c>
      <c r="C31" s="31">
        <f t="shared" ref="C31:K31" si="13">(C15/4088.5)*100</f>
        <v>108.68443108719401</v>
      </c>
      <c r="D31" s="31">
        <f t="shared" si="13"/>
        <v>112.76664589702953</v>
      </c>
      <c r="E31" s="31">
        <f t="shared" si="13"/>
        <v>107.36832340711622</v>
      </c>
      <c r="F31" s="31">
        <f t="shared" si="13"/>
        <v>85.928758101992742</v>
      </c>
      <c r="G31" s="31">
        <f t="shared" si="13"/>
        <v>88.313380579674217</v>
      </c>
      <c r="H31" s="31">
        <f t="shared" si="13"/>
        <v>95.659288064077586</v>
      </c>
      <c r="I31" s="31">
        <f t="shared" si="13"/>
        <v>94.789751864991032</v>
      </c>
      <c r="J31" s="31">
        <f t="shared" si="13"/>
        <v>96.074354897884305</v>
      </c>
      <c r="K31" s="31">
        <f t="shared" si="13"/>
        <v>101.27430598018834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EC82F5-8C4B-48E4-8829-B09BCE403E0E}">
  <dimension ref="A2:M25"/>
  <sheetViews>
    <sheetView topLeftCell="A10" zoomScale="78" zoomScaleNormal="78" workbookViewId="0">
      <selection activeCell="A15" sqref="A15:L25"/>
    </sheetView>
  </sheetViews>
  <sheetFormatPr defaultRowHeight="15" x14ac:dyDescent="0.25"/>
  <cols>
    <col min="1" max="1" width="19.140625" customWidth="1"/>
    <col min="2" max="6" width="12.85546875" customWidth="1"/>
    <col min="7" max="7" width="14" customWidth="1"/>
    <col min="8" max="10" width="12.85546875" customWidth="1"/>
  </cols>
  <sheetData>
    <row r="2" spans="1:13" s="73" customFormat="1" ht="45.4" customHeight="1" x14ac:dyDescent="0.2">
      <c r="A2" s="70"/>
      <c r="B2" s="70" t="s">
        <v>99</v>
      </c>
      <c r="C2" s="71" t="s">
        <v>72</v>
      </c>
      <c r="D2" s="70" t="s">
        <v>379</v>
      </c>
      <c r="E2" s="70" t="s">
        <v>380</v>
      </c>
      <c r="F2" s="72" t="s">
        <v>73</v>
      </c>
      <c r="G2" s="72" t="s">
        <v>381</v>
      </c>
      <c r="H2" s="72" t="s">
        <v>382</v>
      </c>
      <c r="I2" s="72" t="s">
        <v>383</v>
      </c>
      <c r="J2" s="72" t="s">
        <v>384</v>
      </c>
      <c r="K2" s="74" t="s">
        <v>385</v>
      </c>
      <c r="L2" s="74" t="s">
        <v>386</v>
      </c>
      <c r="M2" s="72" t="s">
        <v>387</v>
      </c>
    </row>
    <row r="3" spans="1:13" x14ac:dyDescent="0.25">
      <c r="A3" s="39" t="s">
        <v>49</v>
      </c>
      <c r="B3" s="69">
        <v>7801.3820159999996</v>
      </c>
      <c r="C3" s="69">
        <v>19028.135414</v>
      </c>
      <c r="D3" s="69">
        <v>31180.457883999999</v>
      </c>
      <c r="E3" s="69">
        <v>3526.4586669999999</v>
      </c>
      <c r="F3" s="69">
        <v>45930.817808</v>
      </c>
      <c r="G3" s="69">
        <v>6468.142726</v>
      </c>
      <c r="H3" s="69">
        <v>8980.5676060000005</v>
      </c>
      <c r="I3" s="67">
        <v>29475.425316000001</v>
      </c>
      <c r="J3" s="67">
        <v>10636.759055</v>
      </c>
      <c r="K3" s="67">
        <v>33339.904643000002</v>
      </c>
      <c r="L3" s="67">
        <v>6068.7589719999996</v>
      </c>
      <c r="M3" s="67">
        <v>183408.67469300001</v>
      </c>
    </row>
    <row r="4" spans="1:13" x14ac:dyDescent="0.25">
      <c r="A4" s="40" t="s">
        <v>34</v>
      </c>
      <c r="B4" s="69">
        <v>57.807220000000001</v>
      </c>
      <c r="C4" s="69">
        <v>50.068824999999997</v>
      </c>
      <c r="D4" s="69">
        <v>123.409218</v>
      </c>
      <c r="E4" s="69">
        <v>39.215311999999997</v>
      </c>
      <c r="F4" s="69">
        <v>291.06323900000001</v>
      </c>
      <c r="G4" s="69">
        <v>22.974639</v>
      </c>
      <c r="H4" s="69">
        <v>40.377803999999998</v>
      </c>
      <c r="I4" s="68">
        <v>191.31883999999999</v>
      </c>
      <c r="J4" s="68">
        <v>47.120373999999998</v>
      </c>
      <c r="K4" s="68">
        <v>400.55249500000002</v>
      </c>
      <c r="L4" s="68">
        <v>31.999269999999999</v>
      </c>
      <c r="M4" s="68">
        <v>1245.8384100000001</v>
      </c>
    </row>
    <row r="5" spans="1:13" x14ac:dyDescent="0.25">
      <c r="A5" s="40" t="s">
        <v>35</v>
      </c>
      <c r="B5" s="69">
        <v>11.581909</v>
      </c>
      <c r="C5" s="69">
        <v>21.731587000000001</v>
      </c>
      <c r="D5" s="69">
        <v>53.026179999999997</v>
      </c>
      <c r="E5" s="69">
        <v>8.1955600000000004</v>
      </c>
      <c r="F5" s="69">
        <v>155.84708499999999</v>
      </c>
      <c r="G5" s="69">
        <v>3.8538260000000002</v>
      </c>
      <c r="H5" s="69">
        <v>17.986248</v>
      </c>
      <c r="I5" s="68">
        <v>78.912898999999996</v>
      </c>
      <c r="J5" s="68">
        <v>15.315049</v>
      </c>
      <c r="K5" s="68">
        <v>154.69432599999999</v>
      </c>
      <c r="L5" s="68">
        <v>15.638805</v>
      </c>
      <c r="M5" s="68">
        <v>515.05188699999997</v>
      </c>
    </row>
    <row r="6" spans="1:13" x14ac:dyDescent="0.25">
      <c r="A6" s="40" t="s">
        <v>36</v>
      </c>
      <c r="B6" s="69">
        <v>29.316544</v>
      </c>
      <c r="C6" s="69">
        <v>20.105713999999999</v>
      </c>
      <c r="D6" s="69">
        <v>62.290999999999997</v>
      </c>
      <c r="E6" s="69">
        <v>16.959810000000001</v>
      </c>
      <c r="F6" s="69">
        <v>129.27861100000001</v>
      </c>
      <c r="G6" s="69">
        <v>8.8894359999999999</v>
      </c>
      <c r="H6" s="69">
        <v>41.515360999999999</v>
      </c>
      <c r="I6" s="68">
        <v>111.719605</v>
      </c>
      <c r="J6" s="68">
        <v>25.765841000000002</v>
      </c>
      <c r="K6" s="68">
        <v>196.230898</v>
      </c>
      <c r="L6" s="68">
        <v>18.827836999999999</v>
      </c>
      <c r="M6" s="68">
        <v>640.79494199999999</v>
      </c>
    </row>
    <row r="7" spans="1:13" x14ac:dyDescent="0.25">
      <c r="A7" s="40" t="s">
        <v>50</v>
      </c>
      <c r="B7" s="69">
        <v>86.906851000000003</v>
      </c>
      <c r="C7" s="69">
        <v>86.641154</v>
      </c>
      <c r="D7" s="69">
        <v>310.96477299999998</v>
      </c>
      <c r="E7" s="69">
        <v>45.443612000000002</v>
      </c>
      <c r="F7" s="69">
        <v>1556.561823</v>
      </c>
      <c r="G7" s="69">
        <v>34.019657000000002</v>
      </c>
      <c r="H7" s="69">
        <v>85.378574</v>
      </c>
      <c r="I7" s="68">
        <v>352.32630999999998</v>
      </c>
      <c r="J7" s="68">
        <v>168.14847599999999</v>
      </c>
      <c r="K7" s="68">
        <v>547.55537800000002</v>
      </c>
      <c r="L7" s="68">
        <v>80.159750000000003</v>
      </c>
      <c r="M7" s="68">
        <v>3267.465205</v>
      </c>
    </row>
    <row r="8" spans="1:13" x14ac:dyDescent="0.25">
      <c r="A8" s="40" t="s">
        <v>45</v>
      </c>
      <c r="B8" s="69">
        <v>44.267159999999997</v>
      </c>
      <c r="C8" s="69">
        <v>54.173447000000003</v>
      </c>
      <c r="D8" s="69">
        <v>165.57672099999999</v>
      </c>
      <c r="E8" s="69">
        <v>137.361985</v>
      </c>
      <c r="F8" s="69">
        <v>1330.172202</v>
      </c>
      <c r="G8" s="69">
        <v>17.751764000000001</v>
      </c>
      <c r="H8" s="69">
        <v>62.489736000000001</v>
      </c>
      <c r="I8" s="68">
        <v>414.46657499999998</v>
      </c>
      <c r="J8" s="68">
        <v>86.902918999999997</v>
      </c>
      <c r="K8" s="68">
        <v>241.86729700000001</v>
      </c>
      <c r="L8" s="68">
        <v>73.407342999999997</v>
      </c>
      <c r="M8" s="68">
        <v>2574.2637020000002</v>
      </c>
    </row>
    <row r="9" spans="1:13" x14ac:dyDescent="0.25">
      <c r="A9" s="40" t="s">
        <v>37</v>
      </c>
      <c r="B9" s="69">
        <v>16.932753999999999</v>
      </c>
      <c r="C9" s="69">
        <v>26.05509</v>
      </c>
      <c r="D9" s="69">
        <v>35.54815</v>
      </c>
      <c r="E9" s="69">
        <v>17.763728</v>
      </c>
      <c r="F9" s="69">
        <v>386.16582099999999</v>
      </c>
      <c r="G9" s="69">
        <v>5.024743</v>
      </c>
      <c r="H9" s="68">
        <v>12.4459</v>
      </c>
      <c r="I9" s="68">
        <v>96.737900999999994</v>
      </c>
      <c r="J9" s="68">
        <v>25.448677</v>
      </c>
      <c r="K9" s="68">
        <v>76.694246000000007</v>
      </c>
      <c r="L9" s="68">
        <v>26.291553</v>
      </c>
      <c r="M9" s="68">
        <v>699.05347400000005</v>
      </c>
    </row>
    <row r="10" spans="1:13" x14ac:dyDescent="0.25">
      <c r="A10" s="40" t="s">
        <v>38</v>
      </c>
      <c r="B10" s="69">
        <v>28.712598</v>
      </c>
      <c r="C10" s="69">
        <v>32.182178</v>
      </c>
      <c r="D10" s="69">
        <v>70.419534999999996</v>
      </c>
      <c r="E10" s="69">
        <v>22.790727</v>
      </c>
      <c r="F10" s="69">
        <v>633.947048</v>
      </c>
      <c r="G10" s="69">
        <v>18.549358999999999</v>
      </c>
      <c r="H10" s="68">
        <v>29.270855999999998</v>
      </c>
      <c r="I10" s="68">
        <v>240.29096799999999</v>
      </c>
      <c r="J10" s="68">
        <v>74.125264999999999</v>
      </c>
      <c r="K10" s="68">
        <v>234.29012599999999</v>
      </c>
      <c r="L10" s="68">
        <v>62.977341000000003</v>
      </c>
      <c r="M10" s="68">
        <v>1415.373822</v>
      </c>
    </row>
    <row r="11" spans="1:13" ht="17.25" customHeight="1" x14ac:dyDescent="0.25">
      <c r="A11" s="40" t="s">
        <v>39</v>
      </c>
      <c r="B11" s="69">
        <v>75.559376999999998</v>
      </c>
      <c r="C11" s="69">
        <v>10.494415</v>
      </c>
      <c r="D11" s="69">
        <v>42.917991999999998</v>
      </c>
      <c r="E11" s="69">
        <v>13.457851</v>
      </c>
      <c r="F11" s="69">
        <v>238.843198</v>
      </c>
      <c r="G11" s="69">
        <v>3.3652540000000002</v>
      </c>
      <c r="H11" s="68">
        <v>11.623087999999999</v>
      </c>
      <c r="I11" s="68">
        <v>104.29672600000001</v>
      </c>
      <c r="J11" s="68">
        <v>13.686662999999999</v>
      </c>
      <c r="K11" s="68">
        <v>61.681600000000003</v>
      </c>
      <c r="L11" s="68">
        <v>8.3182159999999996</v>
      </c>
      <c r="M11" s="68">
        <v>573.74996599999997</v>
      </c>
    </row>
    <row r="12" spans="1:13" x14ac:dyDescent="0.25">
      <c r="A12" s="40" t="s">
        <v>40</v>
      </c>
      <c r="B12" s="69">
        <v>5.6713490000000002</v>
      </c>
      <c r="C12" s="69">
        <v>6.9208439999999998</v>
      </c>
      <c r="D12" s="69">
        <v>8.6298709999999996</v>
      </c>
      <c r="E12" s="69">
        <v>19.790355999999999</v>
      </c>
      <c r="F12" s="69">
        <v>140.03789599999999</v>
      </c>
      <c r="G12" s="69">
        <v>0.75523399999999996</v>
      </c>
      <c r="H12" s="68">
        <v>7.397227</v>
      </c>
      <c r="I12" s="68">
        <v>51.981330999999997</v>
      </c>
      <c r="J12" s="68">
        <v>11.393616</v>
      </c>
      <c r="K12" s="68">
        <v>43.277287000000001</v>
      </c>
      <c r="L12" s="68">
        <v>12.733662000000001</v>
      </c>
      <c r="M12" s="68">
        <v>301.66782899999998</v>
      </c>
    </row>
    <row r="15" spans="1:13" ht="144.75" x14ac:dyDescent="0.25">
      <c r="B15" s="70" t="s">
        <v>99</v>
      </c>
      <c r="C15" s="71" t="s">
        <v>72</v>
      </c>
      <c r="D15" s="70" t="s">
        <v>379</v>
      </c>
      <c r="E15" s="70" t="s">
        <v>380</v>
      </c>
      <c r="F15" s="72" t="s">
        <v>73</v>
      </c>
      <c r="G15" s="72" t="s">
        <v>381</v>
      </c>
      <c r="H15" s="72" t="s">
        <v>382</v>
      </c>
      <c r="I15" s="72" t="s">
        <v>383</v>
      </c>
      <c r="J15" s="72" t="s">
        <v>384</v>
      </c>
      <c r="K15" s="74" t="s">
        <v>385</v>
      </c>
      <c r="L15" s="74" t="s">
        <v>388</v>
      </c>
      <c r="M15" s="72" t="s">
        <v>387</v>
      </c>
    </row>
    <row r="16" spans="1:13" x14ac:dyDescent="0.25">
      <c r="A16" s="39" t="s">
        <v>49</v>
      </c>
      <c r="B16" s="75">
        <f>(B3/183409)*100</f>
        <v>4.2535437279522812</v>
      </c>
      <c r="C16" s="76">
        <f t="shared" ref="C16:M16" si="0">(C3/183409)*100</f>
        <v>10.374701031029012</v>
      </c>
      <c r="D16" s="75">
        <f t="shared" si="0"/>
        <v>17.000505909742706</v>
      </c>
      <c r="E16" s="75">
        <f t="shared" si="0"/>
        <v>1.922729346433381</v>
      </c>
      <c r="F16" s="75">
        <f t="shared" si="0"/>
        <v>25.04283748780049</v>
      </c>
      <c r="G16" s="75">
        <f t="shared" si="0"/>
        <v>3.5266223173344815</v>
      </c>
      <c r="H16" s="75">
        <f t="shared" si="0"/>
        <v>4.8964705145330933</v>
      </c>
      <c r="I16" s="75">
        <f t="shared" si="0"/>
        <v>16.070871830717142</v>
      </c>
      <c r="J16" s="75">
        <f t="shared" si="0"/>
        <v>5.7994749739652907</v>
      </c>
      <c r="K16" s="75">
        <f t="shared" si="0"/>
        <v>18.177900017447346</v>
      </c>
      <c r="L16" s="75">
        <f t="shared" si="0"/>
        <v>3.308866507096162</v>
      </c>
      <c r="M16" s="75">
        <f t="shared" si="0"/>
        <v>99.999822633022376</v>
      </c>
    </row>
    <row r="17" spans="1:13" x14ac:dyDescent="0.25">
      <c r="A17" s="40" t="s">
        <v>34</v>
      </c>
      <c r="B17" s="75">
        <f>(B4/1246)*100</f>
        <v>4.6394237560192622</v>
      </c>
      <c r="C17" s="76">
        <f t="shared" ref="C17:M17" si="1">(C4/1246)*100</f>
        <v>4.0183647672552159</v>
      </c>
      <c r="D17" s="75">
        <f t="shared" si="1"/>
        <v>9.9044316211878005</v>
      </c>
      <c r="E17" s="75">
        <f t="shared" si="1"/>
        <v>3.1472963081861955</v>
      </c>
      <c r="F17" s="75">
        <f t="shared" si="1"/>
        <v>23.359810513643662</v>
      </c>
      <c r="G17" s="75">
        <f t="shared" si="1"/>
        <v>1.8438715088282505</v>
      </c>
      <c r="H17" s="75">
        <f t="shared" si="1"/>
        <v>3.2405942215088279</v>
      </c>
      <c r="I17" s="75">
        <f t="shared" si="1"/>
        <v>15.354642054574638</v>
      </c>
      <c r="J17" s="75">
        <f t="shared" si="1"/>
        <v>3.7817314606741572</v>
      </c>
      <c r="K17" s="75">
        <f t="shared" si="1"/>
        <v>32.147070224719101</v>
      </c>
      <c r="L17" s="75">
        <f t="shared" si="1"/>
        <v>2.5681597110754413</v>
      </c>
      <c r="M17" s="75">
        <f t="shared" si="1"/>
        <v>99.987031300160524</v>
      </c>
    </row>
    <row r="18" spans="1:13" x14ac:dyDescent="0.25">
      <c r="A18" s="40" t="s">
        <v>35</v>
      </c>
      <c r="B18" s="75">
        <f>(B5/515)*100</f>
        <v>2.2489143689320388</v>
      </c>
      <c r="C18" s="76">
        <f t="shared" ref="C18:M18" si="2">(C5/515)*100</f>
        <v>4.2197256310679618</v>
      </c>
      <c r="D18" s="75">
        <f t="shared" si="2"/>
        <v>10.296345631067961</v>
      </c>
      <c r="E18" s="75">
        <f t="shared" si="2"/>
        <v>1.5913708737864078</v>
      </c>
      <c r="F18" s="75">
        <f t="shared" si="2"/>
        <v>30.261569902912623</v>
      </c>
      <c r="G18" s="75">
        <f t="shared" si="2"/>
        <v>0.74831572815533987</v>
      </c>
      <c r="H18" s="75">
        <f t="shared" si="2"/>
        <v>3.492475339805825</v>
      </c>
      <c r="I18" s="75">
        <f t="shared" si="2"/>
        <v>15.322893009708737</v>
      </c>
      <c r="J18" s="75">
        <f t="shared" si="2"/>
        <v>2.9737959223300972</v>
      </c>
      <c r="K18" s="75">
        <f t="shared" si="2"/>
        <v>30.037733203883494</v>
      </c>
      <c r="L18" s="75">
        <f t="shared" si="2"/>
        <v>3.0366611650485433</v>
      </c>
      <c r="M18" s="75">
        <f t="shared" si="2"/>
        <v>100.01007514563108</v>
      </c>
    </row>
    <row r="19" spans="1:13" x14ac:dyDescent="0.25">
      <c r="A19" s="40" t="s">
        <v>36</v>
      </c>
      <c r="B19" s="75">
        <f>(B6/641)*100</f>
        <v>4.5735638065522624</v>
      </c>
      <c r="C19" s="76">
        <f t="shared" ref="C19:M19" si="3">(C6/641)*100</f>
        <v>3.1366168486739467</v>
      </c>
      <c r="D19" s="75">
        <f t="shared" si="3"/>
        <v>9.7177847113884557</v>
      </c>
      <c r="E19" s="75">
        <f t="shared" si="3"/>
        <v>2.6458361934477379</v>
      </c>
      <c r="F19" s="75">
        <f t="shared" si="3"/>
        <v>20.168270046801872</v>
      </c>
      <c r="G19" s="75">
        <f t="shared" si="3"/>
        <v>1.386807488299532</v>
      </c>
      <c r="H19" s="75">
        <f t="shared" si="3"/>
        <v>6.4766553822152879</v>
      </c>
      <c r="I19" s="75">
        <f t="shared" si="3"/>
        <v>17.42895553822153</v>
      </c>
      <c r="J19" s="75">
        <f t="shared" si="3"/>
        <v>4.0196319812792511</v>
      </c>
      <c r="K19" s="75">
        <f t="shared" si="3"/>
        <v>30.613244617784712</v>
      </c>
      <c r="L19" s="75">
        <f t="shared" si="3"/>
        <v>2.9372600624024958</v>
      </c>
      <c r="M19" s="75">
        <f t="shared" si="3"/>
        <v>99.968009672386899</v>
      </c>
    </row>
    <row r="20" spans="1:13" x14ac:dyDescent="0.25">
      <c r="A20" s="40" t="s">
        <v>50</v>
      </c>
      <c r="B20" s="75">
        <f>(B7/3267)*100</f>
        <v>2.6601423630241814</v>
      </c>
      <c r="C20" s="76">
        <f t="shared" ref="C20:M20" si="4">(C7/3267)*100</f>
        <v>2.6520096112641567</v>
      </c>
      <c r="D20" s="75">
        <f t="shared" si="4"/>
        <v>9.5183585246403428</v>
      </c>
      <c r="E20" s="75">
        <f t="shared" si="4"/>
        <v>1.3909890419344966</v>
      </c>
      <c r="F20" s="75">
        <f t="shared" si="4"/>
        <v>47.644989990817265</v>
      </c>
      <c r="G20" s="75">
        <f t="shared" si="4"/>
        <v>1.0413118151209062</v>
      </c>
      <c r="H20" s="75">
        <f t="shared" si="4"/>
        <v>2.6133631466176919</v>
      </c>
      <c r="I20" s="75">
        <f t="shared" si="4"/>
        <v>10.784398836853381</v>
      </c>
      <c r="J20" s="75">
        <f t="shared" si="4"/>
        <v>5.1468771349862257</v>
      </c>
      <c r="K20" s="75">
        <f t="shared" si="4"/>
        <v>16.76018910315274</v>
      </c>
      <c r="L20" s="75">
        <f t="shared" si="4"/>
        <v>2.4536195286195288</v>
      </c>
      <c r="M20" s="75">
        <f t="shared" si="4"/>
        <v>100.01423951637587</v>
      </c>
    </row>
    <row r="21" spans="1:13" x14ac:dyDescent="0.25">
      <c r="A21" s="40" t="s">
        <v>45</v>
      </c>
      <c r="B21" s="75">
        <f>(B8/2574)*100</f>
        <v>1.7197808857808856</v>
      </c>
      <c r="C21" s="76">
        <f t="shared" ref="C21:M21" si="5">(C8/2574)*100</f>
        <v>2.1046405205905208</v>
      </c>
      <c r="D21" s="75">
        <f t="shared" si="5"/>
        <v>6.4326620435120425</v>
      </c>
      <c r="E21" s="75">
        <f t="shared" si="5"/>
        <v>5.3365184537684538</v>
      </c>
      <c r="F21" s="75">
        <f t="shared" si="5"/>
        <v>51.677241724941723</v>
      </c>
      <c r="G21" s="75">
        <f t="shared" si="5"/>
        <v>0.68965672105672116</v>
      </c>
      <c r="H21" s="75">
        <f t="shared" si="5"/>
        <v>2.4277286713286714</v>
      </c>
      <c r="I21" s="75">
        <f t="shared" si="5"/>
        <v>16.102042540792542</v>
      </c>
      <c r="J21" s="75">
        <f t="shared" si="5"/>
        <v>3.3761817793317794</v>
      </c>
      <c r="K21" s="75">
        <f t="shared" si="5"/>
        <v>9.3965538850038861</v>
      </c>
      <c r="L21" s="75">
        <f t="shared" si="5"/>
        <v>2.8518781274281273</v>
      </c>
      <c r="M21" s="75">
        <f t="shared" si="5"/>
        <v>100.01024483294485</v>
      </c>
    </row>
    <row r="22" spans="1:13" x14ac:dyDescent="0.25">
      <c r="A22" s="40" t="s">
        <v>37</v>
      </c>
      <c r="B22" s="75">
        <f>(B9/699)*100</f>
        <v>2.4224254649499284</v>
      </c>
      <c r="C22" s="76">
        <f t="shared" ref="C22:M22" si="6">(C9/699)*100</f>
        <v>3.7274806866952788</v>
      </c>
      <c r="D22" s="75">
        <f t="shared" si="6"/>
        <v>5.0855722460658077</v>
      </c>
      <c r="E22" s="75">
        <f t="shared" si="6"/>
        <v>2.5413058655221747</v>
      </c>
      <c r="F22" s="75">
        <f t="shared" si="6"/>
        <v>55.245467954220317</v>
      </c>
      <c r="G22" s="75">
        <f t="shared" si="6"/>
        <v>0.71884735336194572</v>
      </c>
      <c r="H22" s="75">
        <f t="shared" si="6"/>
        <v>1.7805293276108727</v>
      </c>
      <c r="I22" s="75">
        <f t="shared" si="6"/>
        <v>13.839470815450644</v>
      </c>
      <c r="J22" s="75">
        <f t="shared" si="6"/>
        <v>3.6407263233190275</v>
      </c>
      <c r="K22" s="75">
        <f t="shared" si="6"/>
        <v>10.971995135908442</v>
      </c>
      <c r="L22" s="75">
        <f t="shared" si="6"/>
        <v>3.7613094420600861</v>
      </c>
      <c r="M22" s="75">
        <f t="shared" si="6"/>
        <v>100.00765007153076</v>
      </c>
    </row>
    <row r="23" spans="1:13" x14ac:dyDescent="0.25">
      <c r="A23" s="40" t="s">
        <v>38</v>
      </c>
      <c r="B23" s="75">
        <f>(B10/1415)*100</f>
        <v>2.0291588692579503</v>
      </c>
      <c r="C23" s="76">
        <f t="shared" ref="C23:M23" si="7">(C10/1415)*100</f>
        <v>2.2743588692579508</v>
      </c>
      <c r="D23" s="75">
        <f t="shared" si="7"/>
        <v>4.9766455830388692</v>
      </c>
      <c r="E23" s="75">
        <f t="shared" si="7"/>
        <v>1.6106520848056538</v>
      </c>
      <c r="F23" s="75">
        <f t="shared" si="7"/>
        <v>44.801911519434626</v>
      </c>
      <c r="G23" s="75">
        <f t="shared" si="7"/>
        <v>1.3109087632508833</v>
      </c>
      <c r="H23" s="75">
        <f t="shared" si="7"/>
        <v>2.0686117314487631</v>
      </c>
      <c r="I23" s="75">
        <f t="shared" si="7"/>
        <v>16.981693851590105</v>
      </c>
      <c r="J23" s="75">
        <f t="shared" si="7"/>
        <v>5.2385346289752652</v>
      </c>
      <c r="K23" s="75">
        <f t="shared" si="7"/>
        <v>16.557606077738516</v>
      </c>
      <c r="L23" s="75">
        <f t="shared" si="7"/>
        <v>4.450695477031803</v>
      </c>
      <c r="M23" s="75">
        <f t="shared" si="7"/>
        <v>100.02641851590106</v>
      </c>
    </row>
    <row r="24" spans="1:13" x14ac:dyDescent="0.25">
      <c r="A24" s="40" t="s">
        <v>39</v>
      </c>
      <c r="B24" s="75">
        <f>(B11/574)*100</f>
        <v>13.163654529616725</v>
      </c>
      <c r="C24" s="76">
        <f t="shared" ref="C24:M24" si="8">(C11/574)*100</f>
        <v>1.8282952961672472</v>
      </c>
      <c r="D24" s="75">
        <f t="shared" si="8"/>
        <v>7.4770020905923342</v>
      </c>
      <c r="E24" s="75">
        <f t="shared" si="8"/>
        <v>2.3445733449477353</v>
      </c>
      <c r="F24" s="75">
        <f t="shared" si="8"/>
        <v>41.610313240418115</v>
      </c>
      <c r="G24" s="75">
        <f t="shared" si="8"/>
        <v>0.5862811846689896</v>
      </c>
      <c r="H24" s="75">
        <f t="shared" si="8"/>
        <v>2.0249282229965155</v>
      </c>
      <c r="I24" s="75">
        <f t="shared" si="8"/>
        <v>18.170161324041814</v>
      </c>
      <c r="J24" s="75">
        <f t="shared" si="8"/>
        <v>2.3844360627177701</v>
      </c>
      <c r="K24" s="75">
        <f t="shared" si="8"/>
        <v>10.745923344947736</v>
      </c>
      <c r="L24" s="75">
        <f t="shared" si="8"/>
        <v>1.4491665505226479</v>
      </c>
      <c r="M24" s="75">
        <f t="shared" si="8"/>
        <v>99.956440069686408</v>
      </c>
    </row>
    <row r="25" spans="1:13" x14ac:dyDescent="0.25">
      <c r="A25" s="40" t="s">
        <v>40</v>
      </c>
      <c r="B25" s="75">
        <f>(B12/302)*100</f>
        <v>1.8779301324503312</v>
      </c>
      <c r="C25" s="76">
        <f t="shared" ref="C25:M25" si="9">(C12/302)*100</f>
        <v>2.2916701986754968</v>
      </c>
      <c r="D25" s="75">
        <f t="shared" si="9"/>
        <v>2.857573178807947</v>
      </c>
      <c r="E25" s="75">
        <f t="shared" si="9"/>
        <v>6.5530980132450329</v>
      </c>
      <c r="F25" s="75">
        <f t="shared" si="9"/>
        <v>46.370164238410595</v>
      </c>
      <c r="G25" s="75">
        <f t="shared" si="9"/>
        <v>0.25007748344370861</v>
      </c>
      <c r="H25" s="75">
        <f t="shared" si="9"/>
        <v>2.4494129139072847</v>
      </c>
      <c r="I25" s="75">
        <f t="shared" si="9"/>
        <v>17.212361258278143</v>
      </c>
      <c r="J25" s="75">
        <f t="shared" si="9"/>
        <v>3.7727205298013247</v>
      </c>
      <c r="K25" s="75">
        <f t="shared" si="9"/>
        <v>14.330227483443709</v>
      </c>
      <c r="L25" s="75">
        <f t="shared" si="9"/>
        <v>4.2164443708609269</v>
      </c>
      <c r="M25" s="75">
        <f t="shared" si="9"/>
        <v>99.890009602649002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78E1DF-8BC4-4BFB-B429-D800E44E10C0}">
  <dimension ref="A2:F96"/>
  <sheetViews>
    <sheetView zoomScale="67" zoomScaleNormal="67" workbookViewId="0">
      <selection activeCell="C5" sqref="C5"/>
    </sheetView>
  </sheetViews>
  <sheetFormatPr defaultColWidth="9" defaultRowHeight="12" x14ac:dyDescent="0.2"/>
  <cols>
    <col min="1" max="1" width="19" style="37" customWidth="1"/>
    <col min="2" max="11" width="9" style="37"/>
    <col min="12" max="12" width="14" style="37" customWidth="1"/>
    <col min="13" max="16384" width="9" style="37"/>
  </cols>
  <sheetData>
    <row r="2" spans="1:6" x14ac:dyDescent="0.2">
      <c r="A2" s="37">
        <v>2022</v>
      </c>
      <c r="C2" s="37" t="s">
        <v>103</v>
      </c>
    </row>
    <row r="4" spans="1:6" s="38" customFormat="1" ht="36" x14ac:dyDescent="0.2">
      <c r="A4" s="38" t="s">
        <v>74</v>
      </c>
      <c r="B4" s="38" t="s">
        <v>99</v>
      </c>
      <c r="C4" s="38" t="s">
        <v>100</v>
      </c>
      <c r="D4" s="38" t="s">
        <v>102</v>
      </c>
      <c r="E4" s="38" t="s">
        <v>101</v>
      </c>
      <c r="F4" s="38" t="s">
        <v>378</v>
      </c>
    </row>
    <row r="5" spans="1:6" x14ac:dyDescent="0.2">
      <c r="A5" s="37" t="s">
        <v>80</v>
      </c>
      <c r="B5" s="37">
        <v>2.2000000000000002</v>
      </c>
      <c r="C5" s="37">
        <v>4.4000000000000004</v>
      </c>
      <c r="D5" s="37">
        <v>10.3</v>
      </c>
      <c r="E5" s="37">
        <v>63.8</v>
      </c>
      <c r="F5" s="37">
        <f t="shared" ref="F5:F31" si="0">SUM(B5:D5)</f>
        <v>16.900000000000002</v>
      </c>
    </row>
    <row r="6" spans="1:6" x14ac:dyDescent="0.2">
      <c r="A6" s="37" t="s">
        <v>84</v>
      </c>
      <c r="B6" s="37">
        <v>2.5</v>
      </c>
      <c r="C6" s="37">
        <v>4.5</v>
      </c>
      <c r="D6" s="37">
        <v>13</v>
      </c>
      <c r="E6" s="37">
        <v>66.099999999999994</v>
      </c>
      <c r="F6" s="37">
        <f t="shared" si="0"/>
        <v>20</v>
      </c>
    </row>
    <row r="7" spans="1:6" x14ac:dyDescent="0.2">
      <c r="A7" s="37" t="s">
        <v>88</v>
      </c>
      <c r="B7" s="37">
        <v>4.9000000000000004</v>
      </c>
      <c r="C7" s="37">
        <v>3.6</v>
      </c>
      <c r="D7" s="37">
        <v>11.7</v>
      </c>
      <c r="E7" s="37">
        <v>65</v>
      </c>
      <c r="F7" s="37">
        <f t="shared" si="0"/>
        <v>20.2</v>
      </c>
    </row>
    <row r="8" spans="1:6" x14ac:dyDescent="0.2">
      <c r="A8" s="37" t="s">
        <v>85</v>
      </c>
      <c r="B8" s="37">
        <v>1.1000000000000001</v>
      </c>
      <c r="C8" s="37">
        <v>8.8000000000000007</v>
      </c>
      <c r="D8" s="37">
        <v>17.399999999999999</v>
      </c>
      <c r="E8" s="37">
        <v>49.1</v>
      </c>
      <c r="F8" s="37">
        <f t="shared" si="0"/>
        <v>27.299999999999997</v>
      </c>
    </row>
    <row r="9" spans="1:6" x14ac:dyDescent="0.2">
      <c r="A9" s="41" t="s">
        <v>98</v>
      </c>
      <c r="B9" s="37">
        <v>2.6</v>
      </c>
      <c r="C9" s="37">
        <v>21.1</v>
      </c>
      <c r="D9" s="37">
        <v>4.2</v>
      </c>
      <c r="E9" s="37">
        <v>37.4</v>
      </c>
      <c r="F9" s="37">
        <f t="shared" si="0"/>
        <v>27.900000000000002</v>
      </c>
    </row>
    <row r="10" spans="1:6" x14ac:dyDescent="0.2">
      <c r="A10" s="37" t="s">
        <v>86</v>
      </c>
      <c r="B10" s="37">
        <v>3.1</v>
      </c>
      <c r="C10" s="37">
        <v>5.5</v>
      </c>
      <c r="D10" s="37">
        <v>20.399999999999999</v>
      </c>
      <c r="E10" s="37">
        <v>48.9</v>
      </c>
      <c r="F10" s="37">
        <f t="shared" si="0"/>
        <v>29</v>
      </c>
    </row>
    <row r="11" spans="1:6" x14ac:dyDescent="0.2">
      <c r="A11" s="37" t="s">
        <v>79</v>
      </c>
      <c r="B11" s="37">
        <v>0.7</v>
      </c>
      <c r="C11" s="37">
        <v>6.8</v>
      </c>
      <c r="D11" s="37">
        <v>22.4</v>
      </c>
      <c r="E11" s="37">
        <v>40.6</v>
      </c>
      <c r="F11" s="37">
        <f t="shared" si="0"/>
        <v>29.9</v>
      </c>
    </row>
    <row r="12" spans="1:6" x14ac:dyDescent="0.2">
      <c r="A12" s="37" t="s">
        <v>81</v>
      </c>
      <c r="B12" s="37">
        <v>8</v>
      </c>
      <c r="C12" s="37">
        <v>14.9</v>
      </c>
      <c r="D12" s="37">
        <v>7.3</v>
      </c>
      <c r="E12" s="37">
        <v>51.5</v>
      </c>
      <c r="F12" s="37">
        <f t="shared" si="0"/>
        <v>30.2</v>
      </c>
    </row>
    <row r="13" spans="1:6" x14ac:dyDescent="0.2">
      <c r="A13" s="37" t="s">
        <v>83</v>
      </c>
      <c r="B13" s="37">
        <v>2.5</v>
      </c>
      <c r="C13" s="37">
        <v>7.7</v>
      </c>
      <c r="D13" s="37">
        <v>20.2</v>
      </c>
      <c r="E13" s="37">
        <v>49.5</v>
      </c>
      <c r="F13" s="37">
        <f t="shared" si="0"/>
        <v>30.4</v>
      </c>
    </row>
    <row r="14" spans="1:6" x14ac:dyDescent="0.2">
      <c r="A14" s="37" t="s">
        <v>77</v>
      </c>
      <c r="B14" s="37">
        <v>0.6</v>
      </c>
      <c r="C14" s="37">
        <v>6.7</v>
      </c>
      <c r="D14" s="37">
        <v>24.5</v>
      </c>
      <c r="E14" s="37">
        <v>52.6</v>
      </c>
      <c r="F14" s="37">
        <f t="shared" si="0"/>
        <v>31.8</v>
      </c>
    </row>
    <row r="15" spans="1:6" x14ac:dyDescent="0.2">
      <c r="A15" s="37" t="s">
        <v>36</v>
      </c>
      <c r="B15" s="37">
        <v>10.7</v>
      </c>
      <c r="C15" s="37">
        <v>13.2</v>
      </c>
      <c r="D15" s="37">
        <v>8.1</v>
      </c>
      <c r="E15" s="37">
        <v>48</v>
      </c>
      <c r="F15" s="37">
        <f t="shared" si="0"/>
        <v>32</v>
      </c>
    </row>
    <row r="16" spans="1:6" x14ac:dyDescent="0.2">
      <c r="A16" s="37" t="s">
        <v>82</v>
      </c>
      <c r="B16" s="37">
        <v>9.1</v>
      </c>
      <c r="C16" s="37">
        <v>12.7</v>
      </c>
      <c r="D16" s="37">
        <v>11.2</v>
      </c>
      <c r="E16" s="37">
        <v>48.8</v>
      </c>
      <c r="F16" s="37">
        <f t="shared" si="0"/>
        <v>33</v>
      </c>
    </row>
    <row r="17" spans="1:6" x14ac:dyDescent="0.2">
      <c r="A17" s="37" t="s">
        <v>95</v>
      </c>
      <c r="B17" s="37">
        <v>0.8</v>
      </c>
      <c r="C17" s="37">
        <v>5.5</v>
      </c>
      <c r="D17" s="37">
        <v>27.7</v>
      </c>
      <c r="E17" s="37">
        <v>40.799999999999997</v>
      </c>
      <c r="F17" s="37">
        <f t="shared" si="0"/>
        <v>34</v>
      </c>
    </row>
    <row r="18" spans="1:6" x14ac:dyDescent="0.2">
      <c r="A18" s="37" t="s">
        <v>97</v>
      </c>
      <c r="B18" s="37">
        <v>2.2999999999999998</v>
      </c>
      <c r="C18" s="37">
        <v>8.5</v>
      </c>
      <c r="D18" s="37">
        <v>23.2</v>
      </c>
      <c r="E18" s="37">
        <v>43.7</v>
      </c>
      <c r="F18" s="37">
        <f t="shared" si="0"/>
        <v>34</v>
      </c>
    </row>
    <row r="19" spans="1:6" x14ac:dyDescent="0.2">
      <c r="A19" s="37" t="s">
        <v>38</v>
      </c>
      <c r="B19" s="37">
        <v>1.2</v>
      </c>
      <c r="C19" s="37">
        <v>4.2</v>
      </c>
      <c r="D19" s="37">
        <v>28.7</v>
      </c>
      <c r="E19" s="37">
        <v>43.3</v>
      </c>
      <c r="F19" s="37">
        <f t="shared" si="0"/>
        <v>34.1</v>
      </c>
    </row>
    <row r="20" spans="1:6" x14ac:dyDescent="0.2">
      <c r="A20" s="37" t="s">
        <v>94</v>
      </c>
      <c r="B20" s="37">
        <v>4.2</v>
      </c>
      <c r="C20" s="37">
        <v>7.2</v>
      </c>
      <c r="D20" s="37">
        <v>23.6</v>
      </c>
      <c r="E20" s="37">
        <v>36.299999999999997</v>
      </c>
      <c r="F20" s="37">
        <f t="shared" si="0"/>
        <v>35</v>
      </c>
    </row>
    <row r="21" spans="1:6" x14ac:dyDescent="0.2">
      <c r="A21" s="37" t="s">
        <v>90</v>
      </c>
      <c r="B21" s="37">
        <v>3.7</v>
      </c>
      <c r="C21" s="37">
        <v>7</v>
      </c>
      <c r="D21" s="37">
        <v>24.8</v>
      </c>
      <c r="E21" s="37">
        <v>43.6</v>
      </c>
      <c r="F21" s="37">
        <f t="shared" si="0"/>
        <v>35.5</v>
      </c>
    </row>
    <row r="22" spans="1:6" x14ac:dyDescent="0.2">
      <c r="A22" s="37" t="s">
        <v>92</v>
      </c>
      <c r="B22" s="37">
        <v>1</v>
      </c>
      <c r="C22" s="37">
        <v>3.3</v>
      </c>
      <c r="D22" s="37">
        <v>32.299999999999997</v>
      </c>
      <c r="E22" s="37">
        <v>36.6</v>
      </c>
      <c r="F22" s="37">
        <f t="shared" si="0"/>
        <v>36.599999999999994</v>
      </c>
    </row>
    <row r="23" spans="1:6" x14ac:dyDescent="0.2">
      <c r="A23" s="37" t="s">
        <v>78</v>
      </c>
      <c r="B23" s="37">
        <v>10.6</v>
      </c>
      <c r="C23" s="37">
        <v>5.5</v>
      </c>
      <c r="D23" s="37">
        <v>21.3</v>
      </c>
      <c r="E23" s="37">
        <v>40.9</v>
      </c>
      <c r="F23" s="37">
        <f t="shared" si="0"/>
        <v>37.400000000000006</v>
      </c>
    </row>
    <row r="24" spans="1:6" x14ac:dyDescent="0.2">
      <c r="A24" s="37" t="s">
        <v>37</v>
      </c>
      <c r="B24" s="37">
        <v>1.9</v>
      </c>
      <c r="C24" s="37">
        <v>3.1</v>
      </c>
      <c r="D24" s="37">
        <v>32.6</v>
      </c>
      <c r="E24" s="37">
        <v>39.1</v>
      </c>
      <c r="F24" s="37">
        <f t="shared" si="0"/>
        <v>37.6</v>
      </c>
    </row>
    <row r="25" spans="1:6" x14ac:dyDescent="0.2">
      <c r="A25" s="37" t="s">
        <v>89</v>
      </c>
      <c r="B25" s="37">
        <v>0.7</v>
      </c>
      <c r="C25" s="37">
        <v>2.9</v>
      </c>
      <c r="D25" s="37">
        <v>34.799999999999997</v>
      </c>
      <c r="E25" s="37">
        <v>40.6</v>
      </c>
      <c r="F25" s="37">
        <f t="shared" si="0"/>
        <v>38.4</v>
      </c>
    </row>
    <row r="26" spans="1:6" x14ac:dyDescent="0.2">
      <c r="A26" s="37" t="s">
        <v>75</v>
      </c>
      <c r="B26" s="37">
        <v>2</v>
      </c>
      <c r="C26" s="37">
        <v>8.6999999999999993</v>
      </c>
      <c r="D26" s="37">
        <v>32.799999999999997</v>
      </c>
      <c r="E26" s="37">
        <v>37.5</v>
      </c>
      <c r="F26" s="37">
        <f t="shared" si="0"/>
        <v>43.5</v>
      </c>
    </row>
    <row r="27" spans="1:6" x14ac:dyDescent="0.2">
      <c r="A27" s="37" t="s">
        <v>96</v>
      </c>
      <c r="B27" s="37">
        <v>6</v>
      </c>
      <c r="C27" s="37">
        <v>4.5</v>
      </c>
      <c r="D27" s="37">
        <v>33.9</v>
      </c>
      <c r="E27" s="37">
        <v>39.799999999999997</v>
      </c>
      <c r="F27" s="37">
        <f t="shared" si="0"/>
        <v>44.4</v>
      </c>
    </row>
    <row r="28" spans="1:6" x14ac:dyDescent="0.2">
      <c r="A28" s="37" t="s">
        <v>339</v>
      </c>
      <c r="B28" s="37">
        <v>1.1000000000000001</v>
      </c>
      <c r="C28" s="37">
        <v>3.3</v>
      </c>
      <c r="D28" s="37">
        <v>42.9</v>
      </c>
      <c r="E28" s="37">
        <v>34.9</v>
      </c>
      <c r="F28" s="37">
        <f t="shared" si="0"/>
        <v>47.3</v>
      </c>
    </row>
    <row r="29" spans="1:6" x14ac:dyDescent="0.2">
      <c r="A29" s="37" t="s">
        <v>93</v>
      </c>
      <c r="B29" s="37">
        <v>0.2</v>
      </c>
      <c r="C29" s="37">
        <v>1.5</v>
      </c>
      <c r="D29" s="37">
        <v>46.9</v>
      </c>
      <c r="E29" s="37">
        <v>32.299999999999997</v>
      </c>
      <c r="F29" s="37">
        <f t="shared" si="0"/>
        <v>48.6</v>
      </c>
    </row>
    <row r="30" spans="1:6" x14ac:dyDescent="0.2">
      <c r="A30" s="37" t="s">
        <v>87</v>
      </c>
      <c r="B30" s="37">
        <v>0.7</v>
      </c>
      <c r="C30" s="37">
        <v>3.5</v>
      </c>
      <c r="D30" s="37">
        <v>44.5</v>
      </c>
      <c r="E30" s="37">
        <v>32</v>
      </c>
      <c r="F30" s="37">
        <f t="shared" si="0"/>
        <v>48.7</v>
      </c>
    </row>
    <row r="31" spans="1:6" x14ac:dyDescent="0.2">
      <c r="A31" s="37" t="s">
        <v>91</v>
      </c>
      <c r="B31" s="37">
        <v>1.1000000000000001</v>
      </c>
      <c r="C31" s="37">
        <v>3.1</v>
      </c>
      <c r="D31" s="37">
        <v>45.3</v>
      </c>
      <c r="E31" s="37">
        <v>36.799999999999997</v>
      </c>
      <c r="F31" s="37">
        <f t="shared" si="0"/>
        <v>49.5</v>
      </c>
    </row>
    <row r="35" spans="1:6" x14ac:dyDescent="0.2">
      <c r="C35" s="37" t="s">
        <v>104</v>
      </c>
    </row>
    <row r="37" spans="1:6" ht="36" x14ac:dyDescent="0.2">
      <c r="A37" s="38" t="s">
        <v>74</v>
      </c>
      <c r="B37" s="38" t="s">
        <v>99</v>
      </c>
      <c r="C37" s="38" t="s">
        <v>100</v>
      </c>
      <c r="D37" s="38" t="s">
        <v>102</v>
      </c>
      <c r="E37" s="38" t="s">
        <v>101</v>
      </c>
      <c r="F37" s="38" t="s">
        <v>378</v>
      </c>
    </row>
    <row r="38" spans="1:6" x14ac:dyDescent="0.2">
      <c r="A38" s="37" t="s">
        <v>85</v>
      </c>
      <c r="B38" s="37">
        <v>0.9</v>
      </c>
      <c r="C38" s="37">
        <v>4.0999999999999996</v>
      </c>
      <c r="D38" s="37">
        <v>21.4</v>
      </c>
      <c r="E38" s="37">
        <v>12.1</v>
      </c>
      <c r="F38" s="37">
        <f t="shared" ref="F38:F64" si="1">B38+C38+D38</f>
        <v>26.4</v>
      </c>
    </row>
    <row r="39" spans="1:6" x14ac:dyDescent="0.2">
      <c r="A39" s="41" t="s">
        <v>98</v>
      </c>
      <c r="B39" s="37">
        <v>6.3</v>
      </c>
      <c r="C39" s="37">
        <v>8.3000000000000007</v>
      </c>
      <c r="D39" s="37">
        <v>15.3</v>
      </c>
      <c r="E39" s="37">
        <v>17.8</v>
      </c>
      <c r="F39" s="37">
        <f t="shared" si="1"/>
        <v>29.900000000000002</v>
      </c>
    </row>
    <row r="40" spans="1:6" x14ac:dyDescent="0.2">
      <c r="A40" s="37" t="s">
        <v>36</v>
      </c>
      <c r="B40" s="37">
        <v>12.3</v>
      </c>
      <c r="C40" s="37">
        <v>5.4</v>
      </c>
      <c r="D40" s="37">
        <v>18.600000000000001</v>
      </c>
      <c r="E40" s="37">
        <v>17.5</v>
      </c>
      <c r="F40" s="37">
        <f t="shared" si="1"/>
        <v>36.300000000000004</v>
      </c>
    </row>
    <row r="41" spans="1:6" x14ac:dyDescent="0.2">
      <c r="A41" s="37" t="s">
        <v>81</v>
      </c>
      <c r="B41" s="37">
        <v>13.5</v>
      </c>
      <c r="C41" s="37">
        <v>5</v>
      </c>
      <c r="D41" s="37">
        <v>18.100000000000001</v>
      </c>
      <c r="E41" s="37">
        <v>16.600000000000001</v>
      </c>
      <c r="F41" s="37">
        <f t="shared" si="1"/>
        <v>36.6</v>
      </c>
    </row>
    <row r="42" spans="1:6" x14ac:dyDescent="0.2">
      <c r="A42" s="37" t="s">
        <v>88</v>
      </c>
      <c r="B42" s="37">
        <v>9.4</v>
      </c>
      <c r="C42" s="37">
        <v>4</v>
      </c>
      <c r="D42" s="37">
        <v>26.9</v>
      </c>
      <c r="E42" s="37">
        <v>19.600000000000001</v>
      </c>
      <c r="F42" s="37">
        <f t="shared" si="1"/>
        <v>40.299999999999997</v>
      </c>
    </row>
    <row r="43" spans="1:6" x14ac:dyDescent="0.2">
      <c r="A43" s="37" t="s">
        <v>80</v>
      </c>
      <c r="B43" s="37">
        <v>7.2</v>
      </c>
      <c r="C43" s="37">
        <v>5</v>
      </c>
      <c r="D43" s="37">
        <v>28.2</v>
      </c>
      <c r="E43" s="37">
        <v>29</v>
      </c>
      <c r="F43" s="37">
        <f t="shared" si="1"/>
        <v>40.4</v>
      </c>
    </row>
    <row r="44" spans="1:6" x14ac:dyDescent="0.2">
      <c r="A44" s="37" t="s">
        <v>84</v>
      </c>
      <c r="B44" s="37">
        <v>5.4</v>
      </c>
      <c r="C44" s="37">
        <v>5.5</v>
      </c>
      <c r="D44" s="37">
        <v>32.299999999999997</v>
      </c>
      <c r="E44" s="37">
        <v>18.2</v>
      </c>
      <c r="F44" s="37">
        <f t="shared" si="1"/>
        <v>43.199999999999996</v>
      </c>
    </row>
    <row r="45" spans="1:6" x14ac:dyDescent="0.2">
      <c r="A45" s="37" t="s">
        <v>82</v>
      </c>
      <c r="B45" s="37">
        <v>13.1</v>
      </c>
      <c r="C45" s="37">
        <v>6.6</v>
      </c>
      <c r="D45" s="37">
        <v>24.9</v>
      </c>
      <c r="E45" s="37">
        <v>16.5</v>
      </c>
      <c r="F45" s="37">
        <f t="shared" si="1"/>
        <v>44.599999999999994</v>
      </c>
    </row>
    <row r="46" spans="1:6" x14ac:dyDescent="0.2">
      <c r="A46" s="37" t="s">
        <v>83</v>
      </c>
      <c r="B46" s="37">
        <v>10.4</v>
      </c>
      <c r="C46" s="37">
        <v>3.9</v>
      </c>
      <c r="D46" s="37">
        <v>31.7</v>
      </c>
      <c r="E46" s="37">
        <v>15.9</v>
      </c>
      <c r="F46" s="37">
        <f t="shared" si="1"/>
        <v>46</v>
      </c>
    </row>
    <row r="47" spans="1:6" x14ac:dyDescent="0.2">
      <c r="A47" s="37" t="s">
        <v>86</v>
      </c>
      <c r="B47" s="37">
        <v>4.0999999999999996</v>
      </c>
      <c r="C47" s="37">
        <v>5.3</v>
      </c>
      <c r="D47" s="37">
        <v>37</v>
      </c>
      <c r="E47" s="37">
        <v>16.100000000000001</v>
      </c>
      <c r="F47" s="37">
        <f t="shared" si="1"/>
        <v>46.4</v>
      </c>
    </row>
    <row r="48" spans="1:6" x14ac:dyDescent="0.2">
      <c r="A48" s="37" t="s">
        <v>78</v>
      </c>
      <c r="B48" s="37">
        <v>5.7</v>
      </c>
      <c r="C48" s="37">
        <v>3.4</v>
      </c>
      <c r="D48" s="37">
        <v>37.9</v>
      </c>
      <c r="E48" s="37">
        <v>14.9</v>
      </c>
      <c r="F48" s="37">
        <f t="shared" si="1"/>
        <v>47</v>
      </c>
    </row>
    <row r="49" spans="1:6" x14ac:dyDescent="0.2">
      <c r="A49" s="37" t="s">
        <v>38</v>
      </c>
      <c r="B49" s="37">
        <v>2.9</v>
      </c>
      <c r="C49" s="37">
        <v>3.2</v>
      </c>
      <c r="D49" s="37">
        <v>41.6</v>
      </c>
      <c r="E49" s="37">
        <v>15.4</v>
      </c>
      <c r="F49" s="37">
        <f t="shared" si="1"/>
        <v>47.7</v>
      </c>
    </row>
    <row r="50" spans="1:6" x14ac:dyDescent="0.2">
      <c r="A50" s="37" t="s">
        <v>79</v>
      </c>
      <c r="B50" s="37">
        <v>1.6</v>
      </c>
      <c r="C50" s="37">
        <v>4.5999999999999996</v>
      </c>
      <c r="D50" s="37">
        <v>41.5</v>
      </c>
      <c r="E50" s="37">
        <v>13.5</v>
      </c>
      <c r="F50" s="37">
        <f t="shared" si="1"/>
        <v>47.7</v>
      </c>
    </row>
    <row r="51" spans="1:6" x14ac:dyDescent="0.2">
      <c r="A51" s="37" t="s">
        <v>96</v>
      </c>
      <c r="B51" s="37">
        <v>0.9</v>
      </c>
      <c r="C51" s="37">
        <v>2.9</v>
      </c>
      <c r="D51" s="37">
        <v>44.2</v>
      </c>
      <c r="E51" s="37">
        <v>15</v>
      </c>
      <c r="F51" s="37">
        <f t="shared" si="1"/>
        <v>48</v>
      </c>
    </row>
    <row r="52" spans="1:6" x14ac:dyDescent="0.2">
      <c r="A52" s="37" t="s">
        <v>77</v>
      </c>
      <c r="B52" s="37">
        <v>4</v>
      </c>
      <c r="C52" s="37">
        <v>3.6</v>
      </c>
      <c r="D52" s="37">
        <v>42.4</v>
      </c>
      <c r="E52" s="37">
        <v>20.399999999999999</v>
      </c>
      <c r="F52" s="37">
        <f t="shared" si="1"/>
        <v>50</v>
      </c>
    </row>
    <row r="53" spans="1:6" x14ac:dyDescent="0.2">
      <c r="A53" s="37" t="s">
        <v>94</v>
      </c>
      <c r="B53" s="37">
        <v>3.7</v>
      </c>
      <c r="C53" s="37">
        <v>3.8</v>
      </c>
      <c r="D53" s="37">
        <v>44.2</v>
      </c>
      <c r="E53" s="37">
        <v>13.5</v>
      </c>
      <c r="F53" s="37">
        <f t="shared" si="1"/>
        <v>51.7</v>
      </c>
    </row>
    <row r="54" spans="1:6" x14ac:dyDescent="0.2">
      <c r="A54" s="37" t="s">
        <v>97</v>
      </c>
      <c r="B54" s="37">
        <v>1.5</v>
      </c>
      <c r="C54" s="37">
        <v>6.5</v>
      </c>
      <c r="D54" s="37">
        <v>44.1</v>
      </c>
      <c r="E54" s="37">
        <v>15.6</v>
      </c>
      <c r="F54" s="37">
        <f t="shared" si="1"/>
        <v>52.1</v>
      </c>
    </row>
    <row r="55" spans="1:6" x14ac:dyDescent="0.2">
      <c r="A55" s="37" t="s">
        <v>89</v>
      </c>
      <c r="B55" s="37">
        <v>3.2</v>
      </c>
      <c r="C55" s="37">
        <v>2.2999999999999998</v>
      </c>
      <c r="D55" s="37">
        <v>47.4</v>
      </c>
      <c r="E55" s="37">
        <v>13.7</v>
      </c>
      <c r="F55" s="37">
        <f t="shared" si="1"/>
        <v>52.9</v>
      </c>
    </row>
    <row r="56" spans="1:6" x14ac:dyDescent="0.2">
      <c r="A56" s="37" t="s">
        <v>37</v>
      </c>
      <c r="B56" s="37">
        <v>6.5</v>
      </c>
      <c r="C56" s="37">
        <v>2.2999999999999998</v>
      </c>
      <c r="D56" s="37">
        <v>46.8</v>
      </c>
      <c r="E56" s="37">
        <v>13.9</v>
      </c>
      <c r="F56" s="37">
        <f t="shared" si="1"/>
        <v>55.599999999999994</v>
      </c>
    </row>
    <row r="57" spans="1:6" x14ac:dyDescent="0.2">
      <c r="A57" s="37" t="s">
        <v>95</v>
      </c>
      <c r="B57" s="37">
        <v>2.1</v>
      </c>
      <c r="C57" s="37">
        <v>4.0999999999999996</v>
      </c>
      <c r="D57" s="37">
        <v>50</v>
      </c>
      <c r="E57" s="37">
        <v>16</v>
      </c>
      <c r="F57" s="37">
        <f t="shared" si="1"/>
        <v>56.2</v>
      </c>
    </row>
    <row r="58" spans="1:6" x14ac:dyDescent="0.2">
      <c r="A58" s="37" t="s">
        <v>92</v>
      </c>
      <c r="B58" s="37">
        <v>1.6</v>
      </c>
      <c r="C58" s="37">
        <v>3.2</v>
      </c>
      <c r="D58" s="37">
        <v>53.2</v>
      </c>
      <c r="E58" s="37">
        <v>12.2</v>
      </c>
      <c r="F58" s="37">
        <f t="shared" si="1"/>
        <v>58</v>
      </c>
    </row>
    <row r="59" spans="1:6" x14ac:dyDescent="0.2">
      <c r="A59" s="37" t="s">
        <v>90</v>
      </c>
      <c r="B59" s="37">
        <v>8.5</v>
      </c>
      <c r="C59" s="37">
        <v>3.6</v>
      </c>
      <c r="D59" s="37">
        <v>46.3</v>
      </c>
      <c r="E59" s="37">
        <v>13.9</v>
      </c>
      <c r="F59" s="37">
        <f t="shared" si="1"/>
        <v>58.4</v>
      </c>
    </row>
    <row r="60" spans="1:6" x14ac:dyDescent="0.2">
      <c r="A60" s="37" t="s">
        <v>91</v>
      </c>
      <c r="B60" s="37">
        <v>1.6</v>
      </c>
      <c r="C60" s="37">
        <v>2.6</v>
      </c>
      <c r="D60" s="37">
        <v>55.9</v>
      </c>
      <c r="E60" s="37">
        <v>14.7</v>
      </c>
      <c r="F60" s="37">
        <f t="shared" si="1"/>
        <v>60.1</v>
      </c>
    </row>
    <row r="61" spans="1:6" x14ac:dyDescent="0.2">
      <c r="A61" s="37" t="s">
        <v>93</v>
      </c>
      <c r="B61" s="37">
        <v>0.2</v>
      </c>
      <c r="C61" s="37">
        <v>1.3</v>
      </c>
      <c r="D61" s="37">
        <v>60.4</v>
      </c>
      <c r="E61" s="37">
        <v>13.3</v>
      </c>
      <c r="F61" s="37">
        <f t="shared" si="1"/>
        <v>61.9</v>
      </c>
    </row>
    <row r="62" spans="1:6" x14ac:dyDescent="0.2">
      <c r="A62" s="37" t="s">
        <v>87</v>
      </c>
      <c r="B62" s="37">
        <v>1.7</v>
      </c>
      <c r="C62" s="37">
        <v>2.7</v>
      </c>
      <c r="D62" s="37">
        <v>58.3</v>
      </c>
      <c r="E62" s="37">
        <v>13.7</v>
      </c>
      <c r="F62" s="37">
        <f t="shared" si="1"/>
        <v>62.699999999999996</v>
      </c>
    </row>
    <row r="63" spans="1:6" x14ac:dyDescent="0.2">
      <c r="A63" s="37" t="s">
        <v>75</v>
      </c>
      <c r="B63" s="37">
        <v>4.4000000000000004</v>
      </c>
      <c r="C63" s="37">
        <v>5</v>
      </c>
      <c r="D63" s="37">
        <v>54.6</v>
      </c>
      <c r="E63" s="37">
        <v>13.3</v>
      </c>
      <c r="F63" s="37">
        <f t="shared" si="1"/>
        <v>64</v>
      </c>
    </row>
    <row r="64" spans="1:6" x14ac:dyDescent="0.2">
      <c r="A64" s="37" t="s">
        <v>339</v>
      </c>
      <c r="B64" s="37">
        <v>1.8</v>
      </c>
      <c r="C64" s="37">
        <v>3</v>
      </c>
      <c r="D64" s="37">
        <v>61.5</v>
      </c>
      <c r="E64" s="37">
        <v>12.8</v>
      </c>
      <c r="F64" s="37">
        <f t="shared" si="1"/>
        <v>66.3</v>
      </c>
    </row>
    <row r="67" spans="1:3" x14ac:dyDescent="0.2">
      <c r="C67" s="37" t="s">
        <v>105</v>
      </c>
    </row>
    <row r="69" spans="1:3" ht="24" x14ac:dyDescent="0.2">
      <c r="A69" s="38" t="s">
        <v>74</v>
      </c>
      <c r="B69" s="38" t="s">
        <v>103</v>
      </c>
      <c r="C69" s="38" t="s">
        <v>104</v>
      </c>
    </row>
    <row r="70" spans="1:3" x14ac:dyDescent="0.2">
      <c r="A70" s="37" t="s">
        <v>75</v>
      </c>
      <c r="B70" s="42">
        <f>((306873-200249)/200249)*100</f>
        <v>53.245709092180235</v>
      </c>
      <c r="C70" s="58">
        <f>((7873-5263)/5263)*100</f>
        <v>49.591487744632339</v>
      </c>
    </row>
    <row r="71" spans="1:3" x14ac:dyDescent="0.2">
      <c r="A71" s="37" t="s">
        <v>76</v>
      </c>
      <c r="B71" s="42">
        <f>((318337-221659)/221659)*100</f>
        <v>43.615643849336145</v>
      </c>
      <c r="C71" s="42">
        <f>((8408-6051)/6051)*100</f>
        <v>38.952239299289374</v>
      </c>
    </row>
    <row r="72" spans="1:3" x14ac:dyDescent="0.2">
      <c r="A72" s="37" t="s">
        <v>38</v>
      </c>
      <c r="B72" s="42">
        <f>((2271215-1501663)/1501663)*100</f>
        <v>51.246651212688867</v>
      </c>
      <c r="C72" s="42">
        <f>((52093-34151)/34151)*100</f>
        <v>52.537260987965219</v>
      </c>
    </row>
    <row r="73" spans="1:3" x14ac:dyDescent="0.2">
      <c r="A73" s="37" t="s">
        <v>37</v>
      </c>
      <c r="B73" s="42">
        <f>((1157064-620045)/620045)*100</f>
        <v>86.609681555370983</v>
      </c>
      <c r="C73" s="42">
        <f>((24886-14057)/14057)*100</f>
        <v>77.036351995447106</v>
      </c>
    </row>
    <row r="74" spans="1:3" x14ac:dyDescent="0.2">
      <c r="A74" s="37" t="s">
        <v>77</v>
      </c>
      <c r="B74" s="42">
        <f>((40359-29809)/29809)*100</f>
        <v>35.39199570599483</v>
      </c>
      <c r="C74" s="42">
        <f>((997-782)/782)*100</f>
        <v>27.493606138107417</v>
      </c>
    </row>
    <row r="75" spans="1:3" x14ac:dyDescent="0.2">
      <c r="A75" s="37" t="s">
        <v>78</v>
      </c>
      <c r="B75" s="42">
        <f>((765364-440663)/440663)*100</f>
        <v>73.684652444158004</v>
      </c>
      <c r="C75" s="42">
        <f>((16055-9879)/9879)*100</f>
        <v>62.516449033302969</v>
      </c>
    </row>
    <row r="76" spans="1:3" x14ac:dyDescent="0.2">
      <c r="A76" s="37" t="s">
        <v>79</v>
      </c>
      <c r="B76" s="42">
        <f>((499856-305616)/305616)*100</f>
        <v>63.556881838647193</v>
      </c>
      <c r="C76" s="42">
        <f>((12695-6928)/6928)*100</f>
        <v>83.241916859122398</v>
      </c>
    </row>
    <row r="77" spans="1:3" x14ac:dyDescent="0.2">
      <c r="A77" s="37" t="s">
        <v>80</v>
      </c>
      <c r="B77" s="42">
        <f>((1250277-735113)/735113)*100</f>
        <v>70.079565998696808</v>
      </c>
      <c r="C77" s="42">
        <f>((20247-14803)/14803)*100</f>
        <v>36.776329122475175</v>
      </c>
    </row>
    <row r="78" spans="1:3" x14ac:dyDescent="0.2">
      <c r="A78" s="37" t="s">
        <v>81</v>
      </c>
      <c r="B78" s="42">
        <f>((1133698-1039099)/1039099)*100</f>
        <v>9.1039448599219135</v>
      </c>
      <c r="C78" s="42">
        <f>((25291-17688)/17688)*100</f>
        <v>42.983943916779737</v>
      </c>
    </row>
    <row r="79" spans="1:3" x14ac:dyDescent="0.2">
      <c r="A79" s="37" t="s">
        <v>82</v>
      </c>
      <c r="B79" s="42">
        <f>((193788-115929)/115929)*100</f>
        <v>67.160934710038049</v>
      </c>
      <c r="C79" s="42">
        <f>((4291-4128)/4128)*100</f>
        <v>3.9486434108527133</v>
      </c>
    </row>
    <row r="80" spans="1:3" x14ac:dyDescent="0.2">
      <c r="A80" s="37" t="s">
        <v>83</v>
      </c>
      <c r="B80" s="42">
        <f>((416985-418901)/418901)*100</f>
        <v>-0.45738730630865049</v>
      </c>
      <c r="C80" s="42">
        <f>((11281-8886)/8886)*100</f>
        <v>26.952509565608825</v>
      </c>
    </row>
    <row r="81" spans="1:3" x14ac:dyDescent="0.2">
      <c r="A81" s="37" t="s">
        <v>84</v>
      </c>
      <c r="B81" s="42">
        <f>((73401-70912)/70912)*100</f>
        <v>3.5099842057761732</v>
      </c>
      <c r="C81" s="42">
        <f>((2130-2221)/2221*100)</f>
        <v>-4.097253489419181</v>
      </c>
    </row>
    <row r="82" spans="1:3" x14ac:dyDescent="0.2">
      <c r="A82" s="37" t="s">
        <v>36</v>
      </c>
      <c r="B82" s="42">
        <f>((615840-649404)/649404)*100</f>
        <v>-5.1684313616793247</v>
      </c>
      <c r="C82" s="42">
        <f>((15369-14027)/14027)*100</f>
        <v>9.5672631353817632</v>
      </c>
    </row>
    <row r="83" spans="1:3" x14ac:dyDescent="0.2">
      <c r="A83" s="37" t="s">
        <v>85</v>
      </c>
      <c r="B83" s="42">
        <f>((285706-316194)/316194)*100</f>
        <v>-9.6421816985774544</v>
      </c>
      <c r="C83" s="42">
        <f>((10984-7186)/7186)*100</f>
        <v>52.852769273587526</v>
      </c>
    </row>
    <row r="84" spans="1:3" x14ac:dyDescent="0.2">
      <c r="A84" s="37" t="s">
        <v>86</v>
      </c>
      <c r="B84" s="42">
        <f>((107990-100919)/100919)*100</f>
        <v>7.0066092608923993</v>
      </c>
      <c r="C84" s="42">
        <f>((2837-2669)/2669)*100</f>
        <v>6.2944923192206819</v>
      </c>
    </row>
    <row r="85" spans="1:3" x14ac:dyDescent="0.2">
      <c r="A85" s="37" t="s">
        <v>87</v>
      </c>
      <c r="B85" s="42">
        <f>((1672668-591902)/591902)*100</f>
        <v>182.59205071109744</v>
      </c>
      <c r="C85" s="42">
        <f>((26594-10420)/10420)*100</f>
        <v>155.22072936660268</v>
      </c>
    </row>
    <row r="86" spans="1:3" x14ac:dyDescent="0.2">
      <c r="A86" s="37" t="s">
        <v>88</v>
      </c>
      <c r="B86" s="42">
        <f>((449110-356738)/356738)*100</f>
        <v>25.893512886207802</v>
      </c>
      <c r="C86" s="42">
        <f>((8449-7560)/7560)*100</f>
        <v>11.75925925925926</v>
      </c>
    </row>
    <row r="87" spans="1:3" x14ac:dyDescent="0.2">
      <c r="A87" s="37" t="s">
        <v>89</v>
      </c>
      <c r="B87" s="42">
        <f>((118279-76490)/76490)*100</f>
        <v>54.63328539678389</v>
      </c>
      <c r="C87" s="42">
        <f>((2852-2581)/2581)*100</f>
        <v>10.499806276636962</v>
      </c>
    </row>
    <row r="88" spans="1:3" x14ac:dyDescent="0.2">
      <c r="A88" s="37" t="s">
        <v>90</v>
      </c>
      <c r="B88" s="42">
        <f>((83665-52674)/52674)*100</f>
        <v>58.835478604244983</v>
      </c>
      <c r="C88" s="42">
        <f>((1977-1201)/1201)*100</f>
        <v>64.612822647793507</v>
      </c>
    </row>
    <row r="89" spans="1:3" x14ac:dyDescent="0.2">
      <c r="A89" s="37" t="s">
        <v>91</v>
      </c>
      <c r="B89" s="42">
        <f>((1088400-759478)/759478)*100</f>
        <v>43.308956941478229</v>
      </c>
      <c r="C89" s="42">
        <f>((20754-12811)/12811)*100</f>
        <v>62.00140504254157</v>
      </c>
    </row>
    <row r="90" spans="1:3" x14ac:dyDescent="0.2">
      <c r="A90" s="37" t="s">
        <v>92</v>
      </c>
      <c r="B90" s="42">
        <f>((302142-161607)/161607)*100</f>
        <v>86.960960849468151</v>
      </c>
      <c r="C90" s="42">
        <f>((6486-3929)/3929)*100</f>
        <v>65.080173072028501</v>
      </c>
    </row>
    <row r="91" spans="1:3" x14ac:dyDescent="0.2">
      <c r="A91" s="37" t="s">
        <v>93</v>
      </c>
      <c r="B91" s="42">
        <f>((1263356-445813)/445813)*100</f>
        <v>183.38249445395266</v>
      </c>
      <c r="C91" s="42">
        <f>((17454-6102)/6102)*100</f>
        <v>186.03736479842675</v>
      </c>
    </row>
    <row r="92" spans="1:3" x14ac:dyDescent="0.2">
      <c r="A92" s="37" t="s">
        <v>94</v>
      </c>
      <c r="B92" s="42">
        <f>((607267-279391)/279391)*100</f>
        <v>117.35381597832428</v>
      </c>
      <c r="C92" s="42">
        <f>((12206-7430)/7430)*100</f>
        <v>64.279946164199202</v>
      </c>
    </row>
    <row r="93" spans="1:3" x14ac:dyDescent="0.2">
      <c r="A93" s="37" t="s">
        <v>95</v>
      </c>
      <c r="B93" s="57">
        <f>((607267-284116)/284116)*100</f>
        <v>113.73910656210843</v>
      </c>
      <c r="C93" s="42">
        <f>((12206-6427)/6247)*100</f>
        <v>92.508404033936287</v>
      </c>
    </row>
    <row r="94" spans="1:3" x14ac:dyDescent="0.2">
      <c r="A94" s="37" t="s">
        <v>96</v>
      </c>
      <c r="B94" s="42">
        <f>((3627893-2744012)/2744012)*100</f>
        <v>32.211265839945305</v>
      </c>
      <c r="C94" s="42">
        <f>((65548-47884)/47884)*100</f>
        <v>36.889148776209176</v>
      </c>
    </row>
    <row r="95" spans="1:3" x14ac:dyDescent="0.2">
      <c r="A95" s="37" t="s">
        <v>97</v>
      </c>
      <c r="B95" s="42">
        <f>((142770-105956)/105956)*100</f>
        <v>34.744610970591566</v>
      </c>
      <c r="C95" s="42">
        <f>((3883-3546)/3546)*100</f>
        <v>9.5036661026508753</v>
      </c>
    </row>
    <row r="96" spans="1:3" x14ac:dyDescent="0.2">
      <c r="A96" s="41" t="s">
        <v>98</v>
      </c>
      <c r="B96" s="59">
        <f>((442422276-317205419)/317205419)*100</f>
        <v>39.475005627189489</v>
      </c>
      <c r="C96" s="42">
        <f>((4621511-3206585)/3206585)*100</f>
        <v>44.125635216281495</v>
      </c>
    </row>
  </sheetData>
  <sortState xmlns:xlrd2="http://schemas.microsoft.com/office/spreadsheetml/2017/richdata2" ref="A38:F64">
    <sortCondition ref="F38:F64"/>
  </sortState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AB6050-AA47-42D7-831D-6A9C12E7E187}">
  <dimension ref="A2:Q17"/>
  <sheetViews>
    <sheetView topLeftCell="A2" workbookViewId="0">
      <selection activeCell="N16" sqref="N16:Q16"/>
    </sheetView>
  </sheetViews>
  <sheetFormatPr defaultRowHeight="15" x14ac:dyDescent="0.25"/>
  <cols>
    <col min="1" max="1" width="27.42578125" customWidth="1"/>
  </cols>
  <sheetData>
    <row r="2" spans="1:17" x14ac:dyDescent="0.25">
      <c r="B2" s="240" t="s">
        <v>390</v>
      </c>
      <c r="C2" s="243" t="s">
        <v>391</v>
      </c>
      <c r="D2" s="244"/>
      <c r="E2" s="245"/>
      <c r="F2" s="242" t="s">
        <v>392</v>
      </c>
      <c r="G2" s="242"/>
      <c r="H2" s="242"/>
      <c r="I2" s="242" t="s">
        <v>393</v>
      </c>
      <c r="J2" s="242"/>
      <c r="K2" s="240" t="s">
        <v>394</v>
      </c>
      <c r="L2" s="239" t="s">
        <v>395</v>
      </c>
      <c r="N2" t="s">
        <v>410</v>
      </c>
    </row>
    <row r="3" spans="1:17" ht="56.25" x14ac:dyDescent="0.25">
      <c r="B3" s="241"/>
      <c r="C3" s="79" t="s">
        <v>396</v>
      </c>
      <c r="D3" s="79" t="s">
        <v>397</v>
      </c>
      <c r="E3" s="79" t="s">
        <v>398</v>
      </c>
      <c r="F3" s="79" t="s">
        <v>399</v>
      </c>
      <c r="G3" s="79" t="s">
        <v>400</v>
      </c>
      <c r="H3" s="80" t="s">
        <v>401</v>
      </c>
      <c r="I3" s="79" t="s">
        <v>402</v>
      </c>
      <c r="J3" s="79" t="s">
        <v>403</v>
      </c>
      <c r="K3" s="241"/>
      <c r="L3" s="239"/>
      <c r="N3" t="s">
        <v>389</v>
      </c>
      <c r="O3" t="s">
        <v>101</v>
      </c>
      <c r="P3" t="s">
        <v>411</v>
      </c>
      <c r="Q3" t="s">
        <v>412</v>
      </c>
    </row>
    <row r="4" spans="1:17" x14ac:dyDescent="0.25">
      <c r="A4" s="77" t="s">
        <v>389</v>
      </c>
      <c r="B4">
        <v>918724</v>
      </c>
      <c r="C4">
        <v>415479044</v>
      </c>
      <c r="D4">
        <v>270989077</v>
      </c>
      <c r="E4">
        <v>90861315</v>
      </c>
      <c r="F4">
        <v>42587862</v>
      </c>
      <c r="G4">
        <v>34393925</v>
      </c>
      <c r="H4">
        <v>8193640</v>
      </c>
      <c r="I4">
        <v>3408062</v>
      </c>
      <c r="J4">
        <v>2552169</v>
      </c>
      <c r="K4">
        <v>349091409</v>
      </c>
      <c r="L4">
        <v>12241148</v>
      </c>
      <c r="N4">
        <v>26.660698954420429</v>
      </c>
      <c r="O4">
        <v>20.802242522869047</v>
      </c>
      <c r="P4" s="81">
        <v>10.794352343326537</v>
      </c>
      <c r="Q4">
        <v>44.419334615734961</v>
      </c>
    </row>
    <row r="5" spans="1:17" x14ac:dyDescent="0.25">
      <c r="A5" s="78" t="s">
        <v>404</v>
      </c>
      <c r="B5">
        <v>38291</v>
      </c>
      <c r="C5">
        <v>7858212</v>
      </c>
      <c r="D5">
        <v>4663112</v>
      </c>
      <c r="E5">
        <v>1549913</v>
      </c>
      <c r="F5">
        <v>878891</v>
      </c>
      <c r="G5">
        <v>706379</v>
      </c>
      <c r="H5">
        <v>172503</v>
      </c>
      <c r="I5">
        <v>112049</v>
      </c>
      <c r="J5">
        <v>75575</v>
      </c>
      <c r="K5">
        <v>6655731</v>
      </c>
      <c r="L5">
        <v>353034</v>
      </c>
      <c r="N5">
        <v>13.832457228533945</v>
      </c>
      <c r="O5">
        <v>11.610942249240122</v>
      </c>
      <c r="P5" s="81">
        <v>4.3965068891907624</v>
      </c>
      <c r="Q5">
        <v>28.713251735906791</v>
      </c>
    </row>
    <row r="6" spans="1:17" x14ac:dyDescent="0.25">
      <c r="A6" s="78" t="s">
        <v>336</v>
      </c>
      <c r="B6">
        <v>147352</v>
      </c>
      <c r="C6">
        <v>43226936</v>
      </c>
      <c r="D6">
        <v>25125907</v>
      </c>
      <c r="E6">
        <v>9057019</v>
      </c>
      <c r="F6">
        <v>5001744</v>
      </c>
      <c r="G6">
        <v>4036512</v>
      </c>
      <c r="H6">
        <v>961646</v>
      </c>
      <c r="I6">
        <v>520719</v>
      </c>
      <c r="J6">
        <v>381899</v>
      </c>
      <c r="K6">
        <v>36687053</v>
      </c>
      <c r="L6">
        <v>1343810</v>
      </c>
      <c r="N6">
        <v>17.393294656042894</v>
      </c>
      <c r="O6">
        <v>18.822277355144998</v>
      </c>
      <c r="P6" s="81">
        <v>7.0515857966906852</v>
      </c>
      <c r="Q6">
        <v>30.000807305452621</v>
      </c>
    </row>
    <row r="7" spans="1:17" x14ac:dyDescent="0.25">
      <c r="A7" s="78" t="s">
        <v>405</v>
      </c>
      <c r="B7">
        <v>18913</v>
      </c>
      <c r="C7">
        <v>2826858</v>
      </c>
      <c r="D7">
        <v>1671360</v>
      </c>
      <c r="E7">
        <v>538240</v>
      </c>
      <c r="F7">
        <v>303986</v>
      </c>
      <c r="G7">
        <v>245117</v>
      </c>
      <c r="H7">
        <v>58879</v>
      </c>
      <c r="I7">
        <v>45831</v>
      </c>
      <c r="J7">
        <v>28099</v>
      </c>
      <c r="K7">
        <v>2426813</v>
      </c>
      <c r="L7">
        <v>108527</v>
      </c>
      <c r="N7">
        <v>11.744016058999367</v>
      </c>
      <c r="O7">
        <v>11.451339784145887</v>
      </c>
      <c r="P7" s="81">
        <v>3.8486956521739129</v>
      </c>
      <c r="Q7">
        <v>19.516162514827997</v>
      </c>
    </row>
    <row r="8" spans="1:17" x14ac:dyDescent="0.25">
      <c r="A8" s="78" t="s">
        <v>406</v>
      </c>
      <c r="B8">
        <v>26317</v>
      </c>
      <c r="C8">
        <v>5603766</v>
      </c>
      <c r="D8">
        <v>3450805</v>
      </c>
      <c r="E8">
        <v>916307</v>
      </c>
      <c r="F8">
        <v>515997</v>
      </c>
      <c r="G8">
        <v>414005</v>
      </c>
      <c r="H8">
        <v>98566</v>
      </c>
      <c r="I8">
        <v>72904</v>
      </c>
      <c r="J8">
        <v>47559</v>
      </c>
      <c r="K8">
        <v>4881869</v>
      </c>
      <c r="L8">
        <v>233070</v>
      </c>
      <c r="N8">
        <v>12.568679359157247</v>
      </c>
      <c r="O8">
        <v>12.054213500589952</v>
      </c>
      <c r="P8" s="81">
        <v>5.2857142857142856</v>
      </c>
      <c r="Q8">
        <v>24.842358249950951</v>
      </c>
    </row>
    <row r="9" spans="1:17" x14ac:dyDescent="0.25">
      <c r="A9" s="78" t="s">
        <v>338</v>
      </c>
      <c r="B9">
        <v>53438</v>
      </c>
      <c r="C9">
        <v>11839094</v>
      </c>
      <c r="D9">
        <v>7510189</v>
      </c>
      <c r="E9">
        <v>2145034</v>
      </c>
      <c r="F9">
        <v>1128915</v>
      </c>
      <c r="G9">
        <v>907255</v>
      </c>
      <c r="H9">
        <v>216276</v>
      </c>
      <c r="I9">
        <v>150846</v>
      </c>
      <c r="J9">
        <v>100232</v>
      </c>
      <c r="K9">
        <v>10235420</v>
      </c>
      <c r="L9">
        <v>431579</v>
      </c>
      <c r="N9">
        <v>14.22002572159686</v>
      </c>
      <c r="O9">
        <v>12.371432030753398</v>
      </c>
      <c r="P9" s="81">
        <v>4.5932279774065616</v>
      </c>
      <c r="Q9">
        <v>32.453501022672874</v>
      </c>
    </row>
    <row r="10" spans="1:17" x14ac:dyDescent="0.25">
      <c r="A10" s="78" t="s">
        <v>345</v>
      </c>
      <c r="B10">
        <v>37640</v>
      </c>
      <c r="C10">
        <v>8337775</v>
      </c>
      <c r="D10">
        <v>4546344</v>
      </c>
      <c r="E10">
        <v>568559</v>
      </c>
      <c r="F10">
        <v>827478</v>
      </c>
      <c r="G10">
        <v>665583</v>
      </c>
      <c r="H10">
        <v>161897</v>
      </c>
      <c r="I10">
        <v>99267</v>
      </c>
      <c r="J10">
        <v>63774</v>
      </c>
      <c r="K10">
        <v>8125036</v>
      </c>
      <c r="L10">
        <v>218876</v>
      </c>
      <c r="N10">
        <v>5.7275731109029184</v>
      </c>
      <c r="O10">
        <v>-28.821914303986357</v>
      </c>
      <c r="P10" s="81">
        <v>3.3596319203499774</v>
      </c>
      <c r="Q10">
        <v>36.632102352086712</v>
      </c>
    </row>
    <row r="11" spans="1:17" x14ac:dyDescent="0.25">
      <c r="A11" s="78" t="s">
        <v>407</v>
      </c>
      <c r="B11">
        <v>29094</v>
      </c>
      <c r="C11">
        <v>4614937</v>
      </c>
      <c r="D11">
        <v>2604391</v>
      </c>
      <c r="E11">
        <v>981432</v>
      </c>
      <c r="F11">
        <v>590391</v>
      </c>
      <c r="G11">
        <v>478540</v>
      </c>
      <c r="H11">
        <v>111836</v>
      </c>
      <c r="I11">
        <v>90796</v>
      </c>
      <c r="J11">
        <v>63649</v>
      </c>
      <c r="K11">
        <v>3528784</v>
      </c>
      <c r="L11">
        <v>310335</v>
      </c>
      <c r="N11">
        <v>10.809198643112031</v>
      </c>
      <c r="O11">
        <v>-7.70781328007988</v>
      </c>
      <c r="P11" s="81">
        <v>13.49920021327646</v>
      </c>
      <c r="Q11">
        <v>14.127526753864448</v>
      </c>
    </row>
    <row r="12" spans="1:17" x14ac:dyDescent="0.25">
      <c r="A12" s="78" t="s">
        <v>408</v>
      </c>
      <c r="B12">
        <v>47077</v>
      </c>
      <c r="C12">
        <v>8720082</v>
      </c>
      <c r="D12">
        <v>4721420</v>
      </c>
      <c r="E12">
        <v>1341440</v>
      </c>
      <c r="F12">
        <v>834243</v>
      </c>
      <c r="G12">
        <v>674016</v>
      </c>
      <c r="H12">
        <v>160195</v>
      </c>
      <c r="I12">
        <v>121935</v>
      </c>
      <c r="J12">
        <v>77868</v>
      </c>
      <c r="K12">
        <v>7763629</v>
      </c>
      <c r="L12">
        <v>226287</v>
      </c>
      <c r="N12">
        <v>11.001271169065486</v>
      </c>
      <c r="O12">
        <v>9.4010867189207765</v>
      </c>
      <c r="P12" s="81">
        <v>3.4957047945495323</v>
      </c>
      <c r="Q12">
        <v>23.806871165644171</v>
      </c>
    </row>
    <row r="13" spans="1:17" x14ac:dyDescent="0.25">
      <c r="A13" s="78" t="s">
        <v>409</v>
      </c>
      <c r="B13">
        <v>45373</v>
      </c>
      <c r="C13">
        <v>9041566</v>
      </c>
      <c r="D13">
        <v>5371436</v>
      </c>
      <c r="E13">
        <v>1622882</v>
      </c>
      <c r="F13">
        <v>824642</v>
      </c>
      <c r="G13">
        <v>666393</v>
      </c>
      <c r="H13">
        <v>158242</v>
      </c>
      <c r="I13">
        <v>120196</v>
      </c>
      <c r="J13">
        <v>75822</v>
      </c>
      <c r="K13">
        <v>7826198</v>
      </c>
      <c r="L13">
        <v>222572</v>
      </c>
      <c r="N13">
        <v>13.501963459682518</v>
      </c>
      <c r="O13">
        <v>12.412151968179948</v>
      </c>
      <c r="P13" s="81">
        <v>4.9697555717591859</v>
      </c>
      <c r="Q13">
        <v>36.044199268986056</v>
      </c>
    </row>
    <row r="14" spans="1:17" x14ac:dyDescent="0.25">
      <c r="A14" s="78" t="s">
        <v>350</v>
      </c>
      <c r="B14">
        <v>355908</v>
      </c>
      <c r="C14">
        <v>285581037</v>
      </c>
      <c r="D14">
        <v>193062391</v>
      </c>
      <c r="E14">
        <v>64606710</v>
      </c>
      <c r="F14">
        <v>28111162</v>
      </c>
      <c r="G14">
        <v>22735998</v>
      </c>
      <c r="H14">
        <v>5416808</v>
      </c>
      <c r="I14">
        <v>1652203</v>
      </c>
      <c r="J14">
        <v>1329566</v>
      </c>
      <c r="K14">
        <v>239127238</v>
      </c>
      <c r="L14">
        <v>7593178</v>
      </c>
      <c r="N14">
        <v>39.103372890619376</v>
      </c>
      <c r="O14">
        <v>29.944211711711713</v>
      </c>
      <c r="P14" s="81">
        <v>10.345953276832031</v>
      </c>
      <c r="Q14">
        <v>63.040743810029156</v>
      </c>
    </row>
    <row r="15" spans="1:17" x14ac:dyDescent="0.25">
      <c r="A15" s="78" t="s">
        <v>377</v>
      </c>
      <c r="B15">
        <v>16511</v>
      </c>
      <c r="C15">
        <v>2232577</v>
      </c>
      <c r="D15">
        <v>1132985</v>
      </c>
      <c r="E15">
        <v>378538</v>
      </c>
      <c r="F15">
        <v>231229</v>
      </c>
      <c r="G15">
        <v>186897</v>
      </c>
      <c r="H15">
        <v>44337</v>
      </c>
      <c r="I15">
        <v>38813</v>
      </c>
      <c r="J15">
        <v>23029</v>
      </c>
      <c r="K15">
        <v>1947697</v>
      </c>
      <c r="L15">
        <v>58689</v>
      </c>
      <c r="N15">
        <v>9.7528663076804172</v>
      </c>
      <c r="O15">
        <v>10.857142857142858</v>
      </c>
      <c r="P15" s="81">
        <v>5.6204155517078549</v>
      </c>
      <c r="Q15">
        <v>17.678204249485951</v>
      </c>
    </row>
    <row r="16" spans="1:17" x14ac:dyDescent="0.25">
      <c r="A16" s="78" t="s">
        <v>356</v>
      </c>
      <c r="B16">
        <v>44575</v>
      </c>
      <c r="C16">
        <v>10102294</v>
      </c>
      <c r="D16">
        <v>6953169</v>
      </c>
      <c r="E16">
        <v>3377769</v>
      </c>
      <c r="F16">
        <v>1408737</v>
      </c>
      <c r="G16">
        <v>1141439</v>
      </c>
      <c r="H16">
        <v>267227</v>
      </c>
      <c r="I16">
        <v>169448</v>
      </c>
      <c r="J16">
        <v>126196</v>
      </c>
      <c r="K16">
        <v>7345010</v>
      </c>
      <c r="L16">
        <v>576313</v>
      </c>
      <c r="N16">
        <v>19.933956139936736</v>
      </c>
      <c r="O16">
        <v>18.607822030857552</v>
      </c>
      <c r="P16" s="81">
        <v>21.131401476396359</v>
      </c>
      <c r="Q16">
        <v>19.718734134371299</v>
      </c>
    </row>
    <row r="17" spans="1:17" x14ac:dyDescent="0.25">
      <c r="A17" s="78" t="s">
        <v>241</v>
      </c>
      <c r="B17">
        <v>58235</v>
      </c>
      <c r="C17">
        <v>15493910</v>
      </c>
      <c r="D17">
        <v>10175568</v>
      </c>
      <c r="E17">
        <v>3777472</v>
      </c>
      <c r="F17">
        <v>1930447</v>
      </c>
      <c r="G17">
        <v>1535791</v>
      </c>
      <c r="H17">
        <v>365228</v>
      </c>
      <c r="I17">
        <v>213055</v>
      </c>
      <c r="J17">
        <v>158901</v>
      </c>
      <c r="K17">
        <v>12540931</v>
      </c>
      <c r="L17">
        <v>564878</v>
      </c>
      <c r="N17">
        <v>17.73003215132243</v>
      </c>
      <c r="O17">
        <v>16.174765165481521</v>
      </c>
      <c r="P17" s="81">
        <v>17.719977833943801</v>
      </c>
      <c r="Q17">
        <v>26.661238805035385</v>
      </c>
    </row>
  </sheetData>
  <mergeCells count="6">
    <mergeCell ref="L2:L3"/>
    <mergeCell ref="B2:B3"/>
    <mergeCell ref="F2:H2"/>
    <mergeCell ref="C2:E2"/>
    <mergeCell ref="I2:J2"/>
    <mergeCell ref="K2:K3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0E5A34-1320-4949-ACF1-5D8A8FC2C986}">
  <dimension ref="A2:AL28"/>
  <sheetViews>
    <sheetView topLeftCell="S1" workbookViewId="0">
      <selection activeCell="X20" sqref="X20:AF28"/>
    </sheetView>
  </sheetViews>
  <sheetFormatPr defaultRowHeight="15" x14ac:dyDescent="0.25"/>
  <cols>
    <col min="2" max="2" width="9.7109375" bestFit="1" customWidth="1"/>
    <col min="4" max="7" width="9.140625" bestFit="1" customWidth="1"/>
  </cols>
  <sheetData>
    <row r="2" spans="1:38" x14ac:dyDescent="0.25">
      <c r="A2" s="10"/>
      <c r="B2" s="109">
        <v>1928</v>
      </c>
      <c r="C2" s="110">
        <v>1951</v>
      </c>
      <c r="D2" s="111">
        <v>1961</v>
      </c>
      <c r="E2" s="112">
        <v>1971</v>
      </c>
      <c r="F2" s="113">
        <v>1981</v>
      </c>
      <c r="G2" s="111">
        <v>1991</v>
      </c>
      <c r="H2" s="114">
        <v>2001</v>
      </c>
      <c r="I2" s="115">
        <v>2011</v>
      </c>
      <c r="J2" s="116">
        <v>2021</v>
      </c>
      <c r="K2" s="130" t="s">
        <v>545</v>
      </c>
    </row>
    <row r="3" spans="1:38" x14ac:dyDescent="0.25">
      <c r="A3" s="10" t="s">
        <v>36</v>
      </c>
      <c r="B3" s="10">
        <v>72452</v>
      </c>
      <c r="C3" s="117">
        <v>64663</v>
      </c>
      <c r="D3" s="118">
        <v>60061</v>
      </c>
      <c r="E3" s="118">
        <v>52487</v>
      </c>
      <c r="F3" s="118">
        <v>48100</v>
      </c>
      <c r="G3" s="118">
        <v>51060</v>
      </c>
      <c r="H3" s="118">
        <v>51936</v>
      </c>
      <c r="I3" s="10">
        <v>51390</v>
      </c>
      <c r="J3" s="118">
        <v>50361</v>
      </c>
      <c r="K3" s="131">
        <f>((J3-B3)/J3)*100</f>
        <v>-43.86529258751812</v>
      </c>
    </row>
    <row r="4" spans="1:38" x14ac:dyDescent="0.25">
      <c r="A4" s="10" t="s">
        <v>436</v>
      </c>
      <c r="B4" s="10">
        <v>2440</v>
      </c>
      <c r="C4" s="117">
        <v>1448</v>
      </c>
      <c r="D4" s="118">
        <v>1586</v>
      </c>
      <c r="E4" s="118">
        <v>974</v>
      </c>
      <c r="F4" s="118">
        <v>705</v>
      </c>
      <c r="G4" s="118">
        <v>686</v>
      </c>
      <c r="H4" s="118">
        <v>1050</v>
      </c>
      <c r="I4" s="10">
        <v>826</v>
      </c>
      <c r="J4" s="118">
        <v>911</v>
      </c>
      <c r="K4" s="131">
        <f t="shared" ref="K4:K7" si="0">((J4-B4)/J4)*100</f>
        <v>-167.83754116355652</v>
      </c>
    </row>
    <row r="5" spans="1:38" x14ac:dyDescent="0.25">
      <c r="A5" s="10" t="s">
        <v>174</v>
      </c>
      <c r="B5" s="10">
        <v>788</v>
      </c>
      <c r="C5" s="117">
        <v>703</v>
      </c>
      <c r="D5" s="118">
        <v>576</v>
      </c>
      <c r="E5" s="118">
        <v>487</v>
      </c>
      <c r="F5" s="118">
        <v>460</v>
      </c>
      <c r="G5" s="118">
        <v>438</v>
      </c>
      <c r="H5" s="118">
        <v>422</v>
      </c>
      <c r="I5" s="10">
        <v>458</v>
      </c>
      <c r="J5" s="118">
        <v>420</v>
      </c>
      <c r="K5" s="131">
        <f t="shared" si="0"/>
        <v>-87.61904761904762</v>
      </c>
    </row>
    <row r="6" spans="1:38" x14ac:dyDescent="0.25">
      <c r="A6" s="10" t="s">
        <v>438</v>
      </c>
      <c r="B6" s="10">
        <v>2230</v>
      </c>
      <c r="C6" s="117">
        <v>587</v>
      </c>
      <c r="D6" s="118">
        <v>481</v>
      </c>
      <c r="E6" s="118">
        <v>268</v>
      </c>
      <c r="F6" s="118">
        <v>222</v>
      </c>
      <c r="G6" s="118">
        <v>275</v>
      </c>
      <c r="H6" s="118">
        <v>430</v>
      </c>
      <c r="I6" s="10">
        <v>492</v>
      </c>
      <c r="J6" s="118">
        <v>584</v>
      </c>
      <c r="K6" s="131">
        <f t="shared" si="0"/>
        <v>-281.84931506849313</v>
      </c>
    </row>
    <row r="7" spans="1:38" x14ac:dyDescent="0.25">
      <c r="A7" s="10" t="s">
        <v>539</v>
      </c>
      <c r="B7" s="10">
        <v>54800</v>
      </c>
      <c r="C7" s="107">
        <v>58946</v>
      </c>
      <c r="D7" s="107">
        <v>63951</v>
      </c>
      <c r="E7" s="107">
        <v>66606</v>
      </c>
      <c r="F7" s="107">
        <v>87831</v>
      </c>
      <c r="G7" s="107">
        <v>98175</v>
      </c>
      <c r="H7" s="107">
        <v>117007</v>
      </c>
      <c r="I7" s="108">
        <v>115490</v>
      </c>
      <c r="J7" s="118">
        <v>125113</v>
      </c>
      <c r="K7" s="131">
        <f t="shared" si="0"/>
        <v>56.199595565608682</v>
      </c>
    </row>
    <row r="9" spans="1:38" x14ac:dyDescent="0.25">
      <c r="D9" t="s">
        <v>460</v>
      </c>
    </row>
    <row r="10" spans="1:38" ht="45" x14ac:dyDescent="0.25">
      <c r="A10" s="10" t="s">
        <v>435</v>
      </c>
      <c r="B10" s="10"/>
      <c r="C10" s="10"/>
      <c r="D10" s="144" t="s">
        <v>540</v>
      </c>
      <c r="E10" s="144" t="s">
        <v>541</v>
      </c>
      <c r="F10" s="145" t="s">
        <v>542</v>
      </c>
      <c r="G10" s="144" t="s">
        <v>543</v>
      </c>
      <c r="I10" s="123" t="s">
        <v>440</v>
      </c>
      <c r="J10" s="124" t="s">
        <v>441</v>
      </c>
      <c r="K10" s="125" t="s">
        <v>442</v>
      </c>
      <c r="L10" s="125" t="s">
        <v>443</v>
      </c>
      <c r="M10" s="125" t="s">
        <v>444</v>
      </c>
      <c r="N10" s="125" t="s">
        <v>445</v>
      </c>
      <c r="O10" s="125" t="s">
        <v>446</v>
      </c>
      <c r="P10" s="125" t="s">
        <v>447</v>
      </c>
      <c r="Q10" s="125" t="s">
        <v>448</v>
      </c>
      <c r="R10" s="125" t="s">
        <v>449</v>
      </c>
      <c r="S10" s="125" t="s">
        <v>450</v>
      </c>
      <c r="U10" s="96" t="s">
        <v>451</v>
      </c>
      <c r="V10" s="96" t="s">
        <v>452</v>
      </c>
      <c r="X10" s="139" t="s">
        <v>453</v>
      </c>
      <c r="Y10" s="139" t="s">
        <v>387</v>
      </c>
      <c r="Z10" s="139" t="s">
        <v>454</v>
      </c>
      <c r="AA10" s="139" t="s">
        <v>455</v>
      </c>
      <c r="AB10" s="139" t="s">
        <v>456</v>
      </c>
      <c r="AC10" s="139" t="s">
        <v>457</v>
      </c>
      <c r="AD10" s="139" t="s">
        <v>458</v>
      </c>
      <c r="AE10" s="140" t="s">
        <v>546</v>
      </c>
      <c r="AF10" s="141" t="s">
        <v>547</v>
      </c>
      <c r="AI10" t="s">
        <v>387</v>
      </c>
      <c r="AJ10" t="s">
        <v>548</v>
      </c>
      <c r="AK10" t="s">
        <v>549</v>
      </c>
      <c r="AL10" t="s">
        <v>459</v>
      </c>
    </row>
    <row r="11" spans="1:38" x14ac:dyDescent="0.25">
      <c r="A11" s="10" t="s">
        <v>41</v>
      </c>
      <c r="B11" s="122">
        <v>10482487</v>
      </c>
      <c r="C11" s="10"/>
      <c r="D11" s="146">
        <v>1006686</v>
      </c>
      <c r="E11" s="146">
        <v>1337965</v>
      </c>
      <c r="F11" s="146">
        <v>-331279</v>
      </c>
      <c r="G11" s="132">
        <v>-3.160309189985163</v>
      </c>
      <c r="I11" s="126" t="s">
        <v>41</v>
      </c>
      <c r="J11" s="127">
        <v>10482487</v>
      </c>
      <c r="K11" s="127">
        <v>878489</v>
      </c>
      <c r="L11" s="127">
        <v>1068213</v>
      </c>
      <c r="M11" s="127">
        <v>1053304</v>
      </c>
      <c r="N11" s="127">
        <v>1256395</v>
      </c>
      <c r="O11" s="127">
        <v>1596029</v>
      </c>
      <c r="P11" s="127">
        <v>1543341</v>
      </c>
      <c r="Q11" s="127">
        <v>1324633</v>
      </c>
      <c r="R11" s="127">
        <v>996040</v>
      </c>
      <c r="S11" s="127">
        <v>766043</v>
      </c>
      <c r="U11" s="95">
        <v>5125977</v>
      </c>
      <c r="V11" s="98">
        <v>5356509</v>
      </c>
      <c r="X11" s="137" t="s">
        <v>41</v>
      </c>
      <c r="Y11" s="121">
        <v>10482487</v>
      </c>
      <c r="Z11" s="121">
        <v>2208819</v>
      </c>
      <c r="AA11" s="121">
        <v>631675</v>
      </c>
      <c r="AB11" s="121">
        <v>2850932</v>
      </c>
      <c r="AC11" s="121">
        <v>1368094</v>
      </c>
      <c r="AD11" s="121">
        <v>1959643</v>
      </c>
      <c r="AE11" s="121">
        <v>976842</v>
      </c>
      <c r="AF11" s="121">
        <v>486484</v>
      </c>
      <c r="AH11" s="94" t="s">
        <v>41</v>
      </c>
      <c r="AI11" s="93">
        <v>10482487</v>
      </c>
      <c r="AJ11" s="93">
        <v>765599</v>
      </c>
      <c r="AK11" s="93">
        <v>116670</v>
      </c>
      <c r="AL11" s="93">
        <v>439255</v>
      </c>
    </row>
    <row r="12" spans="1:38" x14ac:dyDescent="0.25">
      <c r="A12" s="10" t="s">
        <v>437</v>
      </c>
      <c r="B12" s="122">
        <v>51694</v>
      </c>
      <c r="C12" s="10"/>
      <c r="D12" s="133">
        <f>SUM(D13:D15)</f>
        <v>5264</v>
      </c>
      <c r="E12" s="133">
        <f t="shared" ref="E12:F12" si="1">SUM(E13:E15)</f>
        <v>6573</v>
      </c>
      <c r="F12" s="133">
        <f t="shared" si="1"/>
        <v>-1309</v>
      </c>
      <c r="G12" s="132">
        <f>(F12/B12)*100</f>
        <v>-2.5322087669748905</v>
      </c>
      <c r="I12" s="123" t="s">
        <v>437</v>
      </c>
      <c r="J12" s="128">
        <v>51694</v>
      </c>
      <c r="K12" s="128">
        <v>4478</v>
      </c>
      <c r="L12" s="128">
        <v>5144</v>
      </c>
      <c r="M12" s="128">
        <v>5321</v>
      </c>
      <c r="N12" s="128">
        <v>6599</v>
      </c>
      <c r="O12" s="128">
        <v>7390</v>
      </c>
      <c r="P12" s="128">
        <v>7021</v>
      </c>
      <c r="Q12" s="128">
        <v>6465</v>
      </c>
      <c r="R12" s="128">
        <v>5278</v>
      </c>
      <c r="S12" s="128">
        <v>3987</v>
      </c>
      <c r="U12" s="98">
        <v>25680</v>
      </c>
      <c r="V12" s="98">
        <v>26011</v>
      </c>
      <c r="X12" s="10" t="s">
        <v>437</v>
      </c>
      <c r="Y12" s="122">
        <v>51694</v>
      </c>
      <c r="Z12" s="122">
        <v>10731</v>
      </c>
      <c r="AA12" s="122">
        <v>2545</v>
      </c>
      <c r="AB12" s="122">
        <v>14626</v>
      </c>
      <c r="AC12" s="122">
        <v>6702</v>
      </c>
      <c r="AD12" s="122">
        <v>10506</v>
      </c>
      <c r="AE12" s="122">
        <v>4095</v>
      </c>
      <c r="AF12" s="122">
        <v>2488</v>
      </c>
      <c r="AH12" t="s">
        <v>437</v>
      </c>
      <c r="AI12" s="98">
        <v>51694</v>
      </c>
      <c r="AJ12" s="142">
        <v>2686</v>
      </c>
      <c r="AK12" s="99">
        <v>297</v>
      </c>
      <c r="AL12" s="99">
        <v>1724</v>
      </c>
    </row>
    <row r="13" spans="1:38" x14ac:dyDescent="0.25">
      <c r="A13" s="10" t="s">
        <v>36</v>
      </c>
      <c r="B13" s="122">
        <v>50358</v>
      </c>
      <c r="C13" s="10"/>
      <c r="D13" s="134">
        <v>5202</v>
      </c>
      <c r="E13" s="134">
        <v>6423</v>
      </c>
      <c r="F13" s="134">
        <f t="shared" ref="F13:F15" si="2">D13-E13</f>
        <v>-1221</v>
      </c>
      <c r="G13" s="135">
        <v>-2.4244951450527195</v>
      </c>
      <c r="I13" s="123" t="s">
        <v>36</v>
      </c>
      <c r="J13" s="127">
        <v>50358</v>
      </c>
      <c r="K13" s="127">
        <v>4393</v>
      </c>
      <c r="L13" s="127">
        <v>4987</v>
      </c>
      <c r="M13" s="127">
        <v>5156</v>
      </c>
      <c r="N13" s="127">
        <v>6452</v>
      </c>
      <c r="O13" s="127">
        <v>7235</v>
      </c>
      <c r="P13" s="127">
        <v>6855</v>
      </c>
      <c r="Q13" s="127">
        <v>6271</v>
      </c>
      <c r="R13" s="127">
        <v>5136</v>
      </c>
      <c r="S13" s="127">
        <v>3873</v>
      </c>
      <c r="U13" s="97">
        <v>25020</v>
      </c>
      <c r="V13" s="97">
        <v>25341</v>
      </c>
      <c r="X13" s="10" t="s">
        <v>36</v>
      </c>
      <c r="Y13" s="122">
        <v>50358</v>
      </c>
      <c r="Z13" s="122">
        <v>10491</v>
      </c>
      <c r="AA13" s="122">
        <v>2470</v>
      </c>
      <c r="AB13" s="122">
        <v>14210</v>
      </c>
      <c r="AC13" s="122">
        <v>6504</v>
      </c>
      <c r="AD13" s="122">
        <v>10222</v>
      </c>
      <c r="AE13" s="122">
        <v>4016</v>
      </c>
      <c r="AF13" s="122">
        <v>2443</v>
      </c>
      <c r="AH13" t="s">
        <v>36</v>
      </c>
      <c r="AI13" s="98">
        <v>50358</v>
      </c>
      <c r="AJ13" s="143">
        <v>2593</v>
      </c>
      <c r="AK13" s="100">
        <v>280</v>
      </c>
      <c r="AL13" s="100">
        <v>1652</v>
      </c>
    </row>
    <row r="14" spans="1:38" x14ac:dyDescent="0.25">
      <c r="A14" s="10" t="s">
        <v>436</v>
      </c>
      <c r="B14" s="122">
        <v>422</v>
      </c>
      <c r="C14" s="10"/>
      <c r="D14" s="134">
        <v>36</v>
      </c>
      <c r="E14" s="134">
        <v>81</v>
      </c>
      <c r="F14" s="134">
        <f t="shared" si="2"/>
        <v>-45</v>
      </c>
      <c r="G14" s="135">
        <v>-4.9396267837541163</v>
      </c>
      <c r="I14" s="123" t="s">
        <v>436</v>
      </c>
      <c r="J14" s="127">
        <v>422</v>
      </c>
      <c r="K14" s="127">
        <v>34</v>
      </c>
      <c r="L14" s="127">
        <v>30</v>
      </c>
      <c r="M14" s="127">
        <v>31</v>
      </c>
      <c r="N14" s="127">
        <v>52</v>
      </c>
      <c r="O14" s="127">
        <v>57</v>
      </c>
      <c r="P14" s="127">
        <v>61</v>
      </c>
      <c r="Q14" s="127">
        <v>70</v>
      </c>
      <c r="R14" s="127">
        <v>45</v>
      </c>
      <c r="S14" s="127">
        <v>41</v>
      </c>
      <c r="U14" s="97">
        <v>202</v>
      </c>
      <c r="V14" s="97">
        <v>217</v>
      </c>
      <c r="X14" s="10" t="s">
        <v>436</v>
      </c>
      <c r="Y14" s="122">
        <v>422</v>
      </c>
      <c r="Z14" s="122">
        <v>85</v>
      </c>
      <c r="AA14" s="122">
        <v>16</v>
      </c>
      <c r="AB14" s="122">
        <v>87</v>
      </c>
      <c r="AC14" s="122">
        <v>63</v>
      </c>
      <c r="AD14" s="122">
        <v>123</v>
      </c>
      <c r="AE14" s="122">
        <v>21</v>
      </c>
      <c r="AF14" s="122">
        <v>19</v>
      </c>
      <c r="AH14" t="s">
        <v>436</v>
      </c>
      <c r="AI14" s="98">
        <v>422</v>
      </c>
      <c r="AJ14" s="143">
        <v>25</v>
      </c>
      <c r="AK14" s="100">
        <v>4</v>
      </c>
      <c r="AL14" s="100">
        <v>25</v>
      </c>
    </row>
    <row r="15" spans="1:38" x14ac:dyDescent="0.25">
      <c r="A15" s="10" t="s">
        <v>174</v>
      </c>
      <c r="B15" s="122">
        <v>914</v>
      </c>
      <c r="C15" s="10"/>
      <c r="D15" s="134">
        <v>26</v>
      </c>
      <c r="E15" s="134">
        <v>69</v>
      </c>
      <c r="F15" s="134">
        <f t="shared" si="2"/>
        <v>-43</v>
      </c>
      <c r="G15" s="135">
        <v>-10.238095238095237</v>
      </c>
      <c r="I15" s="123" t="s">
        <v>174</v>
      </c>
      <c r="J15" s="127">
        <v>914</v>
      </c>
      <c r="K15" s="127">
        <v>56</v>
      </c>
      <c r="L15" s="127">
        <v>126</v>
      </c>
      <c r="M15" s="127">
        <v>139</v>
      </c>
      <c r="N15" s="127">
        <v>100</v>
      </c>
      <c r="O15" s="127">
        <v>98</v>
      </c>
      <c r="P15" s="127">
        <v>100</v>
      </c>
      <c r="Q15" s="127">
        <v>124</v>
      </c>
      <c r="R15" s="127">
        <v>96</v>
      </c>
      <c r="S15" s="127">
        <v>74</v>
      </c>
      <c r="U15" s="97">
        <v>457</v>
      </c>
      <c r="V15" s="97">
        <v>454</v>
      </c>
      <c r="X15" s="10" t="s">
        <v>174</v>
      </c>
      <c r="Y15" s="122">
        <v>914</v>
      </c>
      <c r="Z15" s="122">
        <v>155</v>
      </c>
      <c r="AA15" s="122">
        <v>58</v>
      </c>
      <c r="AB15" s="122">
        <v>323</v>
      </c>
      <c r="AC15" s="122">
        <v>135</v>
      </c>
      <c r="AD15" s="122">
        <v>156</v>
      </c>
      <c r="AE15" s="122">
        <v>56</v>
      </c>
      <c r="AF15" s="122">
        <v>26</v>
      </c>
      <c r="AH15" t="s">
        <v>174</v>
      </c>
      <c r="AI15" s="98">
        <v>914</v>
      </c>
      <c r="AJ15" s="143">
        <v>72</v>
      </c>
      <c r="AK15" s="100">
        <v>20</v>
      </c>
      <c r="AL15" s="100">
        <v>46</v>
      </c>
    </row>
    <row r="16" spans="1:38" x14ac:dyDescent="0.25">
      <c r="A16" s="10"/>
      <c r="B16" s="10"/>
      <c r="C16" s="10"/>
      <c r="D16" s="10"/>
      <c r="E16" s="10"/>
      <c r="F16" s="10"/>
      <c r="G16" s="136"/>
      <c r="I16" s="123"/>
      <c r="J16" s="123"/>
      <c r="K16" s="123"/>
      <c r="L16" s="123"/>
      <c r="M16" s="123"/>
      <c r="N16" s="123"/>
      <c r="O16" s="123"/>
      <c r="P16" s="123"/>
      <c r="Q16" s="123"/>
      <c r="R16" s="123"/>
      <c r="S16" s="123"/>
    </row>
    <row r="17" spans="1:38" x14ac:dyDescent="0.25">
      <c r="A17" s="10" t="s">
        <v>438</v>
      </c>
      <c r="B17" s="10">
        <v>587</v>
      </c>
      <c r="C17" s="10"/>
      <c r="D17" s="134">
        <v>49</v>
      </c>
      <c r="E17" s="134">
        <v>26</v>
      </c>
      <c r="F17" s="134">
        <f t="shared" ref="F17" si="3">D17-E17</f>
        <v>23</v>
      </c>
      <c r="G17" s="135">
        <v>3.94</v>
      </c>
      <c r="I17" s="123" t="s">
        <v>438</v>
      </c>
      <c r="J17" s="123">
        <v>587</v>
      </c>
      <c r="K17" s="127">
        <v>49</v>
      </c>
      <c r="L17" s="127">
        <v>103</v>
      </c>
      <c r="M17" s="127">
        <v>95</v>
      </c>
      <c r="N17" s="127">
        <v>95</v>
      </c>
      <c r="O17" s="127">
        <v>77</v>
      </c>
      <c r="P17" s="127">
        <v>52</v>
      </c>
      <c r="Q17" s="127">
        <v>55</v>
      </c>
      <c r="R17" s="127">
        <v>32</v>
      </c>
      <c r="S17" s="127">
        <v>24</v>
      </c>
      <c r="U17">
        <v>389</v>
      </c>
      <c r="V17" s="97">
        <v>194</v>
      </c>
      <c r="X17" t="s">
        <v>438</v>
      </c>
      <c r="Y17" s="98">
        <v>587</v>
      </c>
      <c r="Z17" s="98">
        <v>98</v>
      </c>
      <c r="AA17" s="98">
        <v>24</v>
      </c>
      <c r="AB17" s="98">
        <v>217</v>
      </c>
      <c r="AC17" s="98">
        <v>74</v>
      </c>
      <c r="AD17" s="98">
        <v>99</v>
      </c>
      <c r="AE17" s="98">
        <v>39</v>
      </c>
      <c r="AF17" s="98">
        <v>30</v>
      </c>
      <c r="AH17" t="s">
        <v>438</v>
      </c>
      <c r="AI17" s="98">
        <v>587</v>
      </c>
      <c r="AJ17" s="98">
        <v>35</v>
      </c>
      <c r="AK17" s="100">
        <v>13</v>
      </c>
      <c r="AL17" s="100">
        <v>20</v>
      </c>
    </row>
    <row r="18" spans="1:38" x14ac:dyDescent="0.25">
      <c r="A18" s="10" t="s">
        <v>439</v>
      </c>
      <c r="B18" s="122">
        <v>129521</v>
      </c>
      <c r="C18" s="10"/>
      <c r="D18" s="10">
        <v>14465</v>
      </c>
      <c r="E18" s="10">
        <v>10918</v>
      </c>
      <c r="F18" s="10">
        <v>3547</v>
      </c>
      <c r="G18" s="132">
        <f>(F18/B18)*100</f>
        <v>2.7385520494746025</v>
      </c>
      <c r="I18" s="123" t="s">
        <v>439</v>
      </c>
      <c r="J18" s="128">
        <v>129521</v>
      </c>
      <c r="K18" s="128">
        <v>12968</v>
      </c>
      <c r="L18" s="128">
        <v>14389</v>
      </c>
      <c r="M18" s="128">
        <v>14321</v>
      </c>
      <c r="N18" s="128">
        <v>17730</v>
      </c>
      <c r="O18" s="128">
        <v>20769</v>
      </c>
      <c r="P18" s="128">
        <v>17621</v>
      </c>
      <c r="Q18" s="128">
        <v>13908</v>
      </c>
      <c r="R18" s="128">
        <v>11630</v>
      </c>
      <c r="S18" s="128">
        <v>6180</v>
      </c>
      <c r="U18">
        <v>64902</v>
      </c>
      <c r="V18" s="97">
        <v>64617</v>
      </c>
      <c r="X18" t="s">
        <v>439</v>
      </c>
      <c r="Y18" s="98">
        <v>129521</v>
      </c>
      <c r="Z18" s="98">
        <v>21736</v>
      </c>
      <c r="AA18" s="98">
        <v>8780</v>
      </c>
      <c r="AB18" s="98">
        <v>36885</v>
      </c>
      <c r="AC18" s="98">
        <v>19295</v>
      </c>
      <c r="AD18" s="98">
        <v>23874</v>
      </c>
      <c r="AE18" s="98">
        <v>11542</v>
      </c>
      <c r="AF18" s="98">
        <v>7410</v>
      </c>
      <c r="AH18" t="s">
        <v>439</v>
      </c>
      <c r="AI18" s="98">
        <v>129521</v>
      </c>
      <c r="AJ18" s="98">
        <v>14622</v>
      </c>
      <c r="AK18" s="99">
        <v>3308</v>
      </c>
      <c r="AL18" s="99">
        <v>9756</v>
      </c>
    </row>
    <row r="19" spans="1:38" x14ac:dyDescent="0.25">
      <c r="D19" s="119"/>
      <c r="E19" s="119"/>
      <c r="F19" s="120"/>
      <c r="I19" s="123"/>
      <c r="J19" s="123"/>
      <c r="K19" s="123"/>
      <c r="L19" s="123"/>
      <c r="M19" s="123"/>
      <c r="N19" s="123"/>
      <c r="O19" s="123"/>
      <c r="P19" s="123"/>
      <c r="Q19" s="123"/>
      <c r="R19" s="123"/>
      <c r="S19" s="123"/>
    </row>
    <row r="20" spans="1:38" ht="45" x14ac:dyDescent="0.25">
      <c r="D20" s="101"/>
      <c r="E20" s="101"/>
      <c r="F20" s="102"/>
      <c r="I20" s="123" t="s">
        <v>440</v>
      </c>
      <c r="J20" s="124" t="s">
        <v>441</v>
      </c>
      <c r="K20" s="125" t="s">
        <v>442</v>
      </c>
      <c r="L20" s="125" t="s">
        <v>443</v>
      </c>
      <c r="M20" s="125" t="s">
        <v>444</v>
      </c>
      <c r="N20" s="125" t="s">
        <v>445</v>
      </c>
      <c r="O20" s="125" t="s">
        <v>446</v>
      </c>
      <c r="P20" s="125" t="s">
        <v>447</v>
      </c>
      <c r="Q20" s="125" t="s">
        <v>448</v>
      </c>
      <c r="R20" s="125" t="s">
        <v>449</v>
      </c>
      <c r="S20" s="125" t="s">
        <v>450</v>
      </c>
      <c r="X20" s="10"/>
      <c r="Y20" s="10"/>
      <c r="Z20" s="139" t="s">
        <v>454</v>
      </c>
      <c r="AA20" s="139" t="s">
        <v>455</v>
      </c>
      <c r="AB20" s="139" t="s">
        <v>456</v>
      </c>
      <c r="AC20" s="139" t="s">
        <v>457</v>
      </c>
      <c r="AD20" s="139" t="s">
        <v>458</v>
      </c>
      <c r="AE20" s="140" t="s">
        <v>546</v>
      </c>
      <c r="AF20" s="141" t="s">
        <v>547</v>
      </c>
      <c r="AH20" s="10"/>
      <c r="AI20" s="10"/>
      <c r="AJ20" s="10" t="s">
        <v>548</v>
      </c>
      <c r="AK20" s="10" t="s">
        <v>549</v>
      </c>
      <c r="AL20" s="10" t="s">
        <v>459</v>
      </c>
    </row>
    <row r="21" spans="1:38" x14ac:dyDescent="0.25">
      <c r="D21" s="101"/>
      <c r="E21" s="101"/>
      <c r="F21" s="102"/>
      <c r="I21" s="126" t="s">
        <v>15</v>
      </c>
      <c r="J21" s="123"/>
      <c r="K21" s="129">
        <f>(K11/10482487)*100</f>
        <v>8.3805398470801826</v>
      </c>
      <c r="L21" s="129">
        <f t="shared" ref="L21:S21" si="4">(L11/10482487)*100</f>
        <v>10.190453849358457</v>
      </c>
      <c r="M21" s="129">
        <f t="shared" si="4"/>
        <v>10.04822615091247</v>
      </c>
      <c r="N21" s="129">
        <f t="shared" si="4"/>
        <v>11.985657602055696</v>
      </c>
      <c r="O21" s="129">
        <f t="shared" si="4"/>
        <v>15.225671159906994</v>
      </c>
      <c r="P21" s="129">
        <f t="shared" si="4"/>
        <v>14.723042346725542</v>
      </c>
      <c r="Q21" s="129">
        <f t="shared" si="4"/>
        <v>12.636629074760597</v>
      </c>
      <c r="R21" s="129">
        <f t="shared" si="4"/>
        <v>9.5019435750313832</v>
      </c>
      <c r="S21" s="129">
        <f t="shared" si="4"/>
        <v>7.3078363941686737</v>
      </c>
      <c r="U21" s="31">
        <f>(U11/J11)*100</f>
        <v>48.900389764375575</v>
      </c>
      <c r="V21" s="31">
        <f>(V11/J11)*100</f>
        <v>51.099600695903561</v>
      </c>
      <c r="X21" s="137" t="s">
        <v>41</v>
      </c>
      <c r="Y21" s="10"/>
      <c r="Z21" s="131">
        <f>(Z11/10482487)*100</f>
        <v>21.071516711635322</v>
      </c>
      <c r="AA21" s="131">
        <f t="shared" ref="AA21:AF21" si="5">(AA11/10482487)*100</f>
        <v>6.0260031803521432</v>
      </c>
      <c r="AB21" s="131">
        <f t="shared" si="5"/>
        <v>27.197095498425135</v>
      </c>
      <c r="AC21" s="131">
        <f t="shared" si="5"/>
        <v>13.051234883477555</v>
      </c>
      <c r="AD21" s="131">
        <f t="shared" si="5"/>
        <v>18.694447224213111</v>
      </c>
      <c r="AE21" s="131">
        <f t="shared" si="5"/>
        <v>9.3188000137753573</v>
      </c>
      <c r="AF21" s="131">
        <f t="shared" si="5"/>
        <v>4.640921567563117</v>
      </c>
      <c r="AH21" s="137" t="s">
        <v>41</v>
      </c>
      <c r="AI21" s="10"/>
      <c r="AJ21" s="131">
        <f>(AJ11/10482487)*100</f>
        <v>7.3036007581025384</v>
      </c>
      <c r="AK21" s="131">
        <f>(AK11/10482487)*100</f>
        <v>1.112999233865017</v>
      </c>
      <c r="AL21" s="131">
        <f>(AL11/10482487)*100</f>
        <v>4.1903700906092229</v>
      </c>
    </row>
    <row r="22" spans="1:38" x14ac:dyDescent="0.25">
      <c r="D22" s="101"/>
      <c r="E22" s="101"/>
      <c r="F22" s="102"/>
      <c r="I22" s="123" t="s">
        <v>437</v>
      </c>
      <c r="J22" s="123"/>
      <c r="K22" s="129">
        <f>(K12/51694)*100</f>
        <v>8.6625140248384724</v>
      </c>
      <c r="L22" s="129">
        <f t="shared" ref="L22:S22" si="6">(L12/51694)*100</f>
        <v>9.9508647038340996</v>
      </c>
      <c r="M22" s="129">
        <f t="shared" si="6"/>
        <v>10.293264208612218</v>
      </c>
      <c r="N22" s="129">
        <f t="shared" si="6"/>
        <v>12.765504700738964</v>
      </c>
      <c r="O22" s="129">
        <f t="shared" si="6"/>
        <v>14.295662939606144</v>
      </c>
      <c r="P22" s="129">
        <f t="shared" si="6"/>
        <v>13.581847022865324</v>
      </c>
      <c r="Q22" s="129">
        <f t="shared" si="6"/>
        <v>12.506286996556659</v>
      </c>
      <c r="R22" s="129">
        <f t="shared" si="6"/>
        <v>10.210082408016405</v>
      </c>
      <c r="S22" s="129">
        <f t="shared" si="6"/>
        <v>7.7126939296630166</v>
      </c>
      <c r="U22" s="31">
        <f t="shared" ref="U22:U28" si="7">(U12/J12)*100</f>
        <v>49.676945100011608</v>
      </c>
      <c r="V22" s="31">
        <f t="shared" ref="V22:V28" si="8">(V12/J12)*100</f>
        <v>50.317251518551473</v>
      </c>
      <c r="X22" s="10" t="s">
        <v>437</v>
      </c>
      <c r="Y22" s="10"/>
      <c r="Z22" s="131">
        <f>(Z12/51694)*100</f>
        <v>20.758695399852982</v>
      </c>
      <c r="AA22" s="131">
        <f t="shared" ref="AA22:AF22" si="9">(AA12/51694)*100</f>
        <v>4.9232019189847955</v>
      </c>
      <c r="AB22" s="131">
        <f t="shared" si="9"/>
        <v>28.293418965450535</v>
      </c>
      <c r="AC22" s="131">
        <f t="shared" si="9"/>
        <v>12.964754130073123</v>
      </c>
      <c r="AD22" s="131">
        <f t="shared" si="9"/>
        <v>20.323441792084189</v>
      </c>
      <c r="AE22" s="131">
        <f t="shared" si="9"/>
        <v>7.9216156613920381</v>
      </c>
      <c r="AF22" s="131">
        <f t="shared" si="9"/>
        <v>4.8129376716833674</v>
      </c>
      <c r="AH22" s="10" t="s">
        <v>437</v>
      </c>
      <c r="AI22" s="10"/>
      <c r="AJ22" s="131">
        <f>(AJ13/50358)*100</f>
        <v>5.1491322133523969</v>
      </c>
      <c r="AK22" s="131">
        <f>(AK13/50358)*100</f>
        <v>0.55601890464275794</v>
      </c>
      <c r="AL22" s="131">
        <f>(AL13/50358)*100</f>
        <v>3.2805115373922713</v>
      </c>
    </row>
    <row r="23" spans="1:38" x14ac:dyDescent="0.25">
      <c r="D23" s="101"/>
      <c r="E23" s="101"/>
      <c r="F23" s="102"/>
      <c r="I23" s="123" t="s">
        <v>36</v>
      </c>
      <c r="J23" s="123"/>
      <c r="K23" s="129">
        <f>(K13/50358)*100</f>
        <v>8.7235394574844118</v>
      </c>
      <c r="L23" s="129">
        <f t="shared" ref="L23:S23" si="10">(L13/50358)*100</f>
        <v>9.9030938480479769</v>
      </c>
      <c r="M23" s="129">
        <f t="shared" si="10"/>
        <v>10.238690972635926</v>
      </c>
      <c r="N23" s="129">
        <f t="shared" si="10"/>
        <v>12.812264188410976</v>
      </c>
      <c r="O23" s="129">
        <f t="shared" si="10"/>
        <v>14.367131339608404</v>
      </c>
      <c r="P23" s="129">
        <f t="shared" si="10"/>
        <v>13.612534254736088</v>
      </c>
      <c r="Q23" s="129">
        <f t="shared" si="10"/>
        <v>12.452837682195481</v>
      </c>
      <c r="R23" s="129">
        <f t="shared" si="10"/>
        <v>10.198975336590015</v>
      </c>
      <c r="S23" s="129">
        <f t="shared" si="10"/>
        <v>7.6909329202907193</v>
      </c>
      <c r="U23" s="31">
        <f t="shared" si="7"/>
        <v>49.684260693435007</v>
      </c>
      <c r="V23" s="31">
        <f t="shared" si="8"/>
        <v>50.321696651971884</v>
      </c>
      <c r="X23" s="10" t="s">
        <v>36</v>
      </c>
      <c r="Y23" s="10"/>
      <c r="Z23" s="131">
        <f>(Z13/50358)*100</f>
        <v>20.83283688788276</v>
      </c>
      <c r="AA23" s="131">
        <f t="shared" ref="AA23:AF23" si="11">(AA13/50358)*100</f>
        <v>4.9048810516700421</v>
      </c>
      <c r="AB23" s="131">
        <f t="shared" si="11"/>
        <v>28.217959410619965</v>
      </c>
      <c r="AC23" s="131">
        <f t="shared" si="11"/>
        <v>12.915524842130347</v>
      </c>
      <c r="AD23" s="131">
        <f t="shared" si="11"/>
        <v>20.298661583065254</v>
      </c>
      <c r="AE23" s="131">
        <f t="shared" si="11"/>
        <v>7.9748997180189836</v>
      </c>
      <c r="AF23" s="131">
        <f t="shared" si="11"/>
        <v>4.8512649430080623</v>
      </c>
      <c r="AH23" s="10" t="s">
        <v>36</v>
      </c>
      <c r="AI23" s="10"/>
      <c r="AJ23" s="131">
        <f>(AJ13/50358)*100</f>
        <v>5.1491322133523969</v>
      </c>
      <c r="AK23" s="131">
        <f>(AK13/50358)*100</f>
        <v>0.55601890464275794</v>
      </c>
      <c r="AL23" s="131">
        <f>(AL13/50358)*100</f>
        <v>3.2805115373922713</v>
      </c>
    </row>
    <row r="24" spans="1:38" x14ac:dyDescent="0.25">
      <c r="I24" s="123" t="s">
        <v>436</v>
      </c>
      <c r="J24" s="123"/>
      <c r="K24" s="129">
        <f>(K14/422)*100</f>
        <v>8.0568720379146921</v>
      </c>
      <c r="L24" s="129">
        <f t="shared" ref="L24:S24" si="12">(L14/422)*100</f>
        <v>7.109004739336493</v>
      </c>
      <c r="M24" s="129">
        <f t="shared" si="12"/>
        <v>7.3459715639810419</v>
      </c>
      <c r="N24" s="129">
        <f t="shared" si="12"/>
        <v>12.322274881516588</v>
      </c>
      <c r="O24" s="129">
        <f t="shared" si="12"/>
        <v>13.507109004739338</v>
      </c>
      <c r="P24" s="129">
        <f t="shared" si="12"/>
        <v>14.454976303317535</v>
      </c>
      <c r="Q24" s="129">
        <f t="shared" si="12"/>
        <v>16.587677725118482</v>
      </c>
      <c r="R24" s="129">
        <f t="shared" si="12"/>
        <v>10.66350710900474</v>
      </c>
      <c r="S24" s="129">
        <f t="shared" si="12"/>
        <v>9.7156398104265413</v>
      </c>
      <c r="U24" s="31">
        <f t="shared" si="7"/>
        <v>47.867298578199055</v>
      </c>
      <c r="V24" s="31">
        <f t="shared" si="8"/>
        <v>51.421800947867304</v>
      </c>
      <c r="X24" s="10" t="s">
        <v>436</v>
      </c>
      <c r="Y24" s="10"/>
      <c r="Z24" s="131">
        <f>(Z14/422)*100</f>
        <v>20.142180094786731</v>
      </c>
      <c r="AA24" s="131">
        <f t="shared" ref="AA24:AF24" si="13">(AA14/422)*100</f>
        <v>3.7914691943127963</v>
      </c>
      <c r="AB24" s="131">
        <f t="shared" si="13"/>
        <v>20.616113744075829</v>
      </c>
      <c r="AC24" s="131">
        <f t="shared" si="13"/>
        <v>14.928909952606634</v>
      </c>
      <c r="AD24" s="131">
        <f t="shared" si="13"/>
        <v>29.14691943127962</v>
      </c>
      <c r="AE24" s="131">
        <f t="shared" si="13"/>
        <v>4.9763033175355451</v>
      </c>
      <c r="AF24" s="131">
        <f t="shared" si="13"/>
        <v>4.5023696682464456</v>
      </c>
      <c r="AH24" s="10" t="s">
        <v>436</v>
      </c>
      <c r="AI24" s="10"/>
      <c r="AJ24" s="131">
        <f>(AJ14/422)*100</f>
        <v>5.9241706161137442</v>
      </c>
      <c r="AK24" s="131">
        <f>(AK14/422)*100</f>
        <v>0.94786729857819907</v>
      </c>
      <c r="AL24" s="131">
        <f>(AL14/422)*100</f>
        <v>5.9241706161137442</v>
      </c>
    </row>
    <row r="25" spans="1:38" x14ac:dyDescent="0.25">
      <c r="I25" s="123" t="s">
        <v>174</v>
      </c>
      <c r="J25" s="123"/>
      <c r="K25" s="129">
        <f>(K15/914)*100</f>
        <v>6.1269146608315097</v>
      </c>
      <c r="L25" s="129">
        <f t="shared" ref="L25:S25" si="14">(L15/914)*100</f>
        <v>13.785557986870897</v>
      </c>
      <c r="M25" s="129">
        <f t="shared" si="14"/>
        <v>15.207877461706785</v>
      </c>
      <c r="N25" s="129">
        <f t="shared" si="14"/>
        <v>10.940919037199125</v>
      </c>
      <c r="O25" s="129">
        <f t="shared" si="14"/>
        <v>10.722100656455142</v>
      </c>
      <c r="P25" s="129">
        <f t="shared" si="14"/>
        <v>10.940919037199125</v>
      </c>
      <c r="Q25" s="129">
        <f t="shared" si="14"/>
        <v>13.566739606126916</v>
      </c>
      <c r="R25" s="129">
        <f t="shared" si="14"/>
        <v>10.503282275711159</v>
      </c>
      <c r="S25" s="129">
        <f t="shared" si="14"/>
        <v>8.0962800875273526</v>
      </c>
      <c r="U25" s="31">
        <f t="shared" si="7"/>
        <v>50</v>
      </c>
      <c r="V25" s="31">
        <f t="shared" si="8"/>
        <v>49.671772428884026</v>
      </c>
      <c r="X25" s="10" t="s">
        <v>174</v>
      </c>
      <c r="Y25" s="10"/>
      <c r="Z25" s="131">
        <f>(Z15/914)*100</f>
        <v>16.958424507658641</v>
      </c>
      <c r="AA25" s="131">
        <f t="shared" ref="AA25:AF25" si="15">(AA15/914)*100</f>
        <v>6.3457330415754925</v>
      </c>
      <c r="AB25" s="131">
        <f t="shared" si="15"/>
        <v>35.33916849015317</v>
      </c>
      <c r="AC25" s="131">
        <f t="shared" si="15"/>
        <v>14.770240700218817</v>
      </c>
      <c r="AD25" s="131">
        <f t="shared" si="15"/>
        <v>17.067833698030636</v>
      </c>
      <c r="AE25" s="131">
        <f t="shared" si="15"/>
        <v>6.1269146608315097</v>
      </c>
      <c r="AF25" s="131">
        <f t="shared" si="15"/>
        <v>2.8446389496717726</v>
      </c>
      <c r="AH25" s="10" t="s">
        <v>174</v>
      </c>
      <c r="AI25" s="10"/>
      <c r="AJ25" s="131">
        <f>(AJ15/914)*100</f>
        <v>7.8774617067833699</v>
      </c>
      <c r="AK25" s="131">
        <f>(AK15/914)*100</f>
        <v>2.1881838074398248</v>
      </c>
      <c r="AL25" s="131">
        <f>(AL15/914)*100</f>
        <v>5.0328227571115978</v>
      </c>
    </row>
    <row r="26" spans="1:38" x14ac:dyDescent="0.25">
      <c r="I26" s="123"/>
      <c r="J26" s="123"/>
      <c r="K26" s="123"/>
      <c r="L26" s="123"/>
      <c r="M26" s="123"/>
      <c r="N26" s="123"/>
      <c r="O26" s="123"/>
      <c r="P26" s="123"/>
      <c r="Q26" s="123"/>
      <c r="R26" s="123"/>
      <c r="S26" s="123"/>
      <c r="U26" s="31"/>
      <c r="V26" s="31"/>
      <c r="X26" s="10"/>
      <c r="Y26" s="10"/>
      <c r="Z26" s="10"/>
      <c r="AA26" s="10"/>
      <c r="AB26" s="10"/>
      <c r="AC26" s="10"/>
      <c r="AD26" s="10"/>
      <c r="AE26" s="10"/>
      <c r="AF26" s="10"/>
      <c r="AH26" s="10"/>
      <c r="AI26" s="10"/>
      <c r="AJ26" s="131"/>
      <c r="AK26" s="10"/>
      <c r="AL26" s="10"/>
    </row>
    <row r="27" spans="1:38" x14ac:dyDescent="0.25">
      <c r="I27" s="123" t="s">
        <v>438</v>
      </c>
      <c r="J27" s="123"/>
      <c r="K27" s="129">
        <f>(K17/587)*100</f>
        <v>8.3475298126064725</v>
      </c>
      <c r="L27" s="129">
        <f t="shared" ref="L27:S27" si="16">(L17/587)*100</f>
        <v>17.546848381601361</v>
      </c>
      <c r="M27" s="129">
        <f t="shared" si="16"/>
        <v>16.183986371379895</v>
      </c>
      <c r="N27" s="129">
        <f t="shared" si="16"/>
        <v>16.183986371379895</v>
      </c>
      <c r="O27" s="129">
        <f t="shared" si="16"/>
        <v>13.1175468483816</v>
      </c>
      <c r="P27" s="129">
        <f t="shared" si="16"/>
        <v>8.8586030664395228</v>
      </c>
      <c r="Q27" s="129">
        <f t="shared" si="16"/>
        <v>9.369676320272573</v>
      </c>
      <c r="R27" s="129">
        <f t="shared" si="16"/>
        <v>5.4514480408858601</v>
      </c>
      <c r="S27" s="129">
        <f t="shared" si="16"/>
        <v>4.0885860306643949</v>
      </c>
      <c r="U27" s="31">
        <f t="shared" si="7"/>
        <v>66.269165247018734</v>
      </c>
      <c r="V27" s="31">
        <f t="shared" si="8"/>
        <v>33.049403747870528</v>
      </c>
      <c r="X27" s="10" t="s">
        <v>438</v>
      </c>
      <c r="Y27" s="10"/>
      <c r="Z27" s="131">
        <f>(Z17/587)*100</f>
        <v>16.695059625212945</v>
      </c>
      <c r="AA27" s="131">
        <f t="shared" ref="AA27:AF27" si="17">(AA17/587)*100</f>
        <v>4.0885860306643949</v>
      </c>
      <c r="AB27" s="131">
        <f t="shared" si="17"/>
        <v>36.967632027257238</v>
      </c>
      <c r="AC27" s="131">
        <f t="shared" si="17"/>
        <v>12.60647359454855</v>
      </c>
      <c r="AD27" s="131">
        <f t="shared" si="17"/>
        <v>16.86541737649063</v>
      </c>
      <c r="AE27" s="131">
        <f t="shared" si="17"/>
        <v>6.6439522998296416</v>
      </c>
      <c r="AF27" s="131">
        <f t="shared" si="17"/>
        <v>5.1107325383304936</v>
      </c>
      <c r="AH27" s="10" t="s">
        <v>438</v>
      </c>
      <c r="AI27" s="10"/>
      <c r="AJ27" s="131">
        <f>(AJ17/587)*100</f>
        <v>5.9625212947189095</v>
      </c>
      <c r="AK27" s="131">
        <f>(AK17/587)*100</f>
        <v>2.2146507666098807</v>
      </c>
      <c r="AL27" s="131">
        <f>(AL17/587)*100</f>
        <v>3.4071550255536627</v>
      </c>
    </row>
    <row r="28" spans="1:38" x14ac:dyDescent="0.25">
      <c r="I28" s="123" t="s">
        <v>439</v>
      </c>
      <c r="J28" s="123"/>
      <c r="K28" s="129">
        <f>(K18/129521)*100</f>
        <v>10.012276001575033</v>
      </c>
      <c r="L28" s="129">
        <f t="shared" ref="L28:S28" si="18">(L18/129521)*100</f>
        <v>11.109395387620541</v>
      </c>
      <c r="M28" s="129">
        <f t="shared" si="18"/>
        <v>11.056894248809074</v>
      </c>
      <c r="N28" s="129">
        <f t="shared" si="18"/>
        <v>13.688899869519227</v>
      </c>
      <c r="O28" s="129">
        <f t="shared" si="18"/>
        <v>16.035237529049343</v>
      </c>
      <c r="P28" s="129">
        <f t="shared" si="18"/>
        <v>13.604743632306729</v>
      </c>
      <c r="Q28" s="129">
        <f t="shared" si="18"/>
        <v>10.738027038086488</v>
      </c>
      <c r="R28" s="129">
        <f t="shared" si="18"/>
        <v>8.9792388879023477</v>
      </c>
      <c r="S28" s="129">
        <f t="shared" si="18"/>
        <v>4.7714270272774302</v>
      </c>
      <c r="U28" s="31">
        <f t="shared" si="7"/>
        <v>50.109248693262096</v>
      </c>
      <c r="V28" s="31">
        <f t="shared" si="8"/>
        <v>49.889207155596388</v>
      </c>
      <c r="X28" s="10" t="s">
        <v>439</v>
      </c>
      <c r="Y28" s="10"/>
      <c r="Z28" s="131">
        <f>(Z18/129521)*100</f>
        <v>16.781834605971234</v>
      </c>
      <c r="AA28" s="131">
        <f t="shared" ref="AA28:AF28" si="19">(AA18/129521)*100</f>
        <v>6.7788235112452817</v>
      </c>
      <c r="AB28" s="131">
        <f t="shared" si="19"/>
        <v>28.47800742736699</v>
      </c>
      <c r="AC28" s="131">
        <f t="shared" si="19"/>
        <v>14.897198137753723</v>
      </c>
      <c r="AD28" s="131">
        <f t="shared" si="19"/>
        <v>18.43253217624941</v>
      </c>
      <c r="AE28" s="131">
        <f t="shared" si="19"/>
        <v>8.9112962376757441</v>
      </c>
      <c r="AF28" s="131">
        <f t="shared" si="19"/>
        <v>5.7210799793083744</v>
      </c>
      <c r="AH28" s="10" t="s">
        <v>439</v>
      </c>
      <c r="AI28" s="10"/>
      <c r="AJ28" s="131">
        <f>(AJ18/129521)*100</f>
        <v>11.28928899560689</v>
      </c>
      <c r="AK28" s="131">
        <f>(AK18/129521)*100</f>
        <v>2.5540259880637119</v>
      </c>
      <c r="AL28" s="131">
        <f>(AL18/129521)*100</f>
        <v>7.5323692683039818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FFEA0-47C4-48A4-AFFB-442769548F93}">
  <dimension ref="A1:AC49"/>
  <sheetViews>
    <sheetView zoomScale="59" zoomScaleNormal="59" workbookViewId="0">
      <selection activeCell="W1" sqref="W1:W1048576"/>
    </sheetView>
  </sheetViews>
  <sheetFormatPr defaultRowHeight="15" x14ac:dyDescent="0.25"/>
  <cols>
    <col min="3" max="3" width="14.85546875" bestFit="1" customWidth="1"/>
    <col min="4" max="4" width="10.28515625" customWidth="1"/>
    <col min="5" max="5" width="13.5703125" customWidth="1"/>
    <col min="6" max="6" width="12" customWidth="1"/>
    <col min="7" max="7" width="11.28515625" customWidth="1"/>
    <col min="8" max="9" width="12" bestFit="1" customWidth="1"/>
    <col min="10" max="14" width="13" bestFit="1" customWidth="1"/>
    <col min="15" max="16" width="12" bestFit="1" customWidth="1"/>
    <col min="17" max="21" width="13" bestFit="1" customWidth="1"/>
    <col min="22" max="22" width="12" bestFit="1" customWidth="1"/>
    <col min="23" max="23" width="13" bestFit="1" customWidth="1"/>
    <col min="24" max="24" width="12" bestFit="1" customWidth="1"/>
    <col min="29" max="29" width="13" bestFit="1" customWidth="1"/>
  </cols>
  <sheetData>
    <row r="1" spans="1:26" ht="109.5" customHeight="1" x14ac:dyDescent="0.25">
      <c r="B1" t="s">
        <v>482</v>
      </c>
      <c r="C1" t="s">
        <v>483</v>
      </c>
      <c r="D1" s="104" t="s">
        <v>441</v>
      </c>
      <c r="E1" s="105" t="s">
        <v>461</v>
      </c>
      <c r="F1" s="105" t="s">
        <v>462</v>
      </c>
      <c r="G1" s="105" t="s">
        <v>463</v>
      </c>
      <c r="H1" s="105" t="s">
        <v>464</v>
      </c>
      <c r="I1" s="105" t="s">
        <v>465</v>
      </c>
      <c r="J1" s="105" t="s">
        <v>466</v>
      </c>
      <c r="K1" s="105" t="s">
        <v>467</v>
      </c>
      <c r="L1" s="105" t="s">
        <v>468</v>
      </c>
      <c r="M1" s="105" t="s">
        <v>469</v>
      </c>
      <c r="N1" s="105" t="s">
        <v>470</v>
      </c>
      <c r="O1" s="105" t="s">
        <v>471</v>
      </c>
      <c r="P1" s="105" t="s">
        <v>472</v>
      </c>
      <c r="Q1" s="105" t="s">
        <v>473</v>
      </c>
      <c r="R1" s="105" t="s">
        <v>474</v>
      </c>
      <c r="S1" s="105" t="s">
        <v>475</v>
      </c>
      <c r="T1" s="105" t="s">
        <v>476</v>
      </c>
      <c r="U1" s="105" t="s">
        <v>477</v>
      </c>
      <c r="V1" s="105" t="s">
        <v>478</v>
      </c>
      <c r="W1" s="105" t="s">
        <v>479</v>
      </c>
      <c r="X1" s="105" t="s">
        <v>480</v>
      </c>
      <c r="Y1" s="105" t="s">
        <v>481</v>
      </c>
    </row>
    <row r="2" spans="1:26" x14ac:dyDescent="0.25">
      <c r="A2" s="94" t="s">
        <v>41</v>
      </c>
      <c r="B2" s="95">
        <v>10482487</v>
      </c>
      <c r="C2" s="147">
        <f>(D2/B2)*100</f>
        <v>38.030240342773617</v>
      </c>
      <c r="D2" s="98">
        <v>3986515</v>
      </c>
      <c r="E2" s="98">
        <v>357268</v>
      </c>
      <c r="F2" s="98">
        <v>6853</v>
      </c>
      <c r="G2" s="98">
        <v>355813</v>
      </c>
      <c r="H2" s="98">
        <v>25880</v>
      </c>
      <c r="I2" s="98">
        <v>28148</v>
      </c>
      <c r="J2" s="98">
        <v>184763</v>
      </c>
      <c r="K2" s="98">
        <v>719760</v>
      </c>
      <c r="L2" s="98">
        <v>210180</v>
      </c>
      <c r="M2" s="98">
        <v>437234</v>
      </c>
      <c r="N2" s="98">
        <v>103054</v>
      </c>
      <c r="O2" s="98">
        <v>76562</v>
      </c>
      <c r="P2" s="98">
        <v>13437</v>
      </c>
      <c r="Q2" s="98">
        <v>254447</v>
      </c>
      <c r="R2" s="98">
        <v>124506</v>
      </c>
      <c r="S2" s="98">
        <v>348064</v>
      </c>
      <c r="T2" s="98">
        <v>296089</v>
      </c>
      <c r="U2" s="98">
        <v>271854</v>
      </c>
      <c r="V2" s="98">
        <v>56853</v>
      </c>
      <c r="W2" s="98">
        <v>93284</v>
      </c>
      <c r="X2" s="98">
        <v>20945</v>
      </c>
      <c r="Y2" s="98">
        <v>1537</v>
      </c>
    </row>
    <row r="3" spans="1:26" x14ac:dyDescent="0.25">
      <c r="A3" t="s">
        <v>437</v>
      </c>
      <c r="B3" s="98">
        <v>51694</v>
      </c>
      <c r="C3" s="147">
        <f t="shared" ref="C3:C9" si="0">(D3/B3)*100</f>
        <v>34.83769876581421</v>
      </c>
      <c r="D3" s="98">
        <v>18009</v>
      </c>
      <c r="E3" s="98">
        <v>1750</v>
      </c>
      <c r="F3" s="98">
        <v>12</v>
      </c>
      <c r="G3" s="98">
        <v>843</v>
      </c>
      <c r="H3" s="98">
        <v>121</v>
      </c>
      <c r="I3" s="98">
        <v>173</v>
      </c>
      <c r="J3" s="98">
        <v>1067</v>
      </c>
      <c r="K3" s="98">
        <v>2788</v>
      </c>
      <c r="L3" s="98">
        <v>1520</v>
      </c>
      <c r="M3" s="98">
        <v>1792</v>
      </c>
      <c r="N3" s="98">
        <v>159</v>
      </c>
      <c r="O3" s="98">
        <v>237</v>
      </c>
      <c r="P3" s="98">
        <v>29</v>
      </c>
      <c r="Q3" s="98">
        <v>872</v>
      </c>
      <c r="R3" s="98">
        <v>283</v>
      </c>
      <c r="S3" s="98">
        <v>2987</v>
      </c>
      <c r="T3" s="98">
        <v>1586</v>
      </c>
      <c r="U3" s="98">
        <v>1157</v>
      </c>
      <c r="V3" s="98">
        <v>184</v>
      </c>
      <c r="W3" s="98">
        <v>375</v>
      </c>
      <c r="X3" s="98">
        <v>77</v>
      </c>
      <c r="Y3" s="98">
        <v>5</v>
      </c>
    </row>
    <row r="4" spans="1:26" x14ac:dyDescent="0.25">
      <c r="A4" t="s">
        <v>36</v>
      </c>
      <c r="B4" s="97">
        <v>50358</v>
      </c>
      <c r="C4" s="147">
        <f t="shared" si="0"/>
        <v>35.08479288295802</v>
      </c>
      <c r="D4" s="98">
        <v>17668</v>
      </c>
      <c r="E4" s="98">
        <v>1706</v>
      </c>
      <c r="F4" s="98">
        <v>12</v>
      </c>
      <c r="G4" s="98">
        <v>835</v>
      </c>
      <c r="H4" s="98">
        <v>114</v>
      </c>
      <c r="I4" s="98">
        <v>165</v>
      </c>
      <c r="J4" s="98">
        <v>1052</v>
      </c>
      <c r="K4" s="98">
        <v>2768</v>
      </c>
      <c r="L4" s="98">
        <v>1436</v>
      </c>
      <c r="M4" s="98">
        <v>1764</v>
      </c>
      <c r="N4" s="98">
        <v>156</v>
      </c>
      <c r="O4" s="98">
        <v>228</v>
      </c>
      <c r="P4" s="98">
        <v>31</v>
      </c>
      <c r="Q4" s="98">
        <v>858</v>
      </c>
      <c r="R4" s="98">
        <v>278</v>
      </c>
      <c r="S4" s="98">
        <v>2932</v>
      </c>
      <c r="T4" s="98">
        <v>1566</v>
      </c>
      <c r="U4" s="98">
        <v>1145</v>
      </c>
      <c r="V4" s="98">
        <v>180</v>
      </c>
      <c r="W4" s="98">
        <v>357</v>
      </c>
      <c r="X4" s="98">
        <v>78</v>
      </c>
      <c r="Y4" s="98">
        <v>5</v>
      </c>
    </row>
    <row r="5" spans="1:26" x14ac:dyDescent="0.25">
      <c r="A5" t="s">
        <v>436</v>
      </c>
      <c r="B5" s="97">
        <v>422</v>
      </c>
      <c r="C5" s="147">
        <f t="shared" si="0"/>
        <v>52.369668246445499</v>
      </c>
      <c r="D5" s="98">
        <v>221</v>
      </c>
      <c r="E5" s="98">
        <v>25</v>
      </c>
      <c r="F5" s="98">
        <v>0</v>
      </c>
      <c r="G5" s="98">
        <v>6</v>
      </c>
      <c r="H5" s="98">
        <v>4</v>
      </c>
      <c r="I5" s="98">
        <v>6</v>
      </c>
      <c r="J5" s="98">
        <v>14</v>
      </c>
      <c r="K5" s="98">
        <v>20</v>
      </c>
      <c r="L5" s="98">
        <v>53</v>
      </c>
      <c r="M5" s="98">
        <v>16</v>
      </c>
      <c r="N5" s="98">
        <v>3</v>
      </c>
      <c r="O5" s="98">
        <v>5</v>
      </c>
      <c r="P5" s="98">
        <v>0</v>
      </c>
      <c r="Q5" s="98">
        <v>11</v>
      </c>
      <c r="R5" s="98">
        <v>3</v>
      </c>
      <c r="S5" s="98">
        <v>30</v>
      </c>
      <c r="T5" s="98">
        <v>8</v>
      </c>
      <c r="U5" s="98">
        <v>6</v>
      </c>
      <c r="V5" s="98">
        <v>0</v>
      </c>
      <c r="W5" s="98">
        <v>17</v>
      </c>
      <c r="X5" s="98">
        <v>5</v>
      </c>
      <c r="Y5" s="98">
        <v>0</v>
      </c>
    </row>
    <row r="6" spans="1:26" x14ac:dyDescent="0.25">
      <c r="A6" t="s">
        <v>174</v>
      </c>
      <c r="B6" s="97">
        <v>914</v>
      </c>
      <c r="C6" s="147">
        <f t="shared" si="0"/>
        <v>13.019693654266959</v>
      </c>
      <c r="D6" s="98">
        <v>119</v>
      </c>
      <c r="E6" s="98">
        <v>19</v>
      </c>
      <c r="F6" s="98">
        <v>0</v>
      </c>
      <c r="G6" s="98">
        <v>3</v>
      </c>
      <c r="H6" s="98">
        <v>3</v>
      </c>
      <c r="I6" s="98">
        <v>3</v>
      </c>
      <c r="J6" s="98">
        <v>5</v>
      </c>
      <c r="K6" s="98">
        <v>5</v>
      </c>
      <c r="L6" s="98">
        <v>31</v>
      </c>
      <c r="M6" s="98">
        <v>11</v>
      </c>
      <c r="N6" s="98">
        <v>0</v>
      </c>
      <c r="O6" s="98">
        <v>0</v>
      </c>
      <c r="P6" s="98">
        <v>0</v>
      </c>
      <c r="Q6" s="98">
        <v>4</v>
      </c>
      <c r="R6" s="98">
        <v>0</v>
      </c>
      <c r="S6" s="98">
        <v>25</v>
      </c>
      <c r="T6" s="98">
        <v>6</v>
      </c>
      <c r="U6" s="98">
        <v>6</v>
      </c>
      <c r="V6" s="98">
        <v>0</v>
      </c>
      <c r="W6" s="98">
        <v>3</v>
      </c>
      <c r="X6" s="98">
        <v>0</v>
      </c>
      <c r="Y6" s="98">
        <v>0</v>
      </c>
    </row>
    <row r="7" spans="1:26" x14ac:dyDescent="0.25">
      <c r="C7" s="147" t="e">
        <f t="shared" si="0"/>
        <v>#DIV/0!</v>
      </c>
    </row>
    <row r="8" spans="1:26" x14ac:dyDescent="0.25">
      <c r="A8" t="s">
        <v>438</v>
      </c>
      <c r="B8">
        <v>587</v>
      </c>
      <c r="C8" s="147">
        <f t="shared" si="0"/>
        <v>39.522998296422486</v>
      </c>
      <c r="D8" s="98">
        <v>232</v>
      </c>
      <c r="E8" s="98">
        <v>10</v>
      </c>
      <c r="F8" s="98">
        <v>0</v>
      </c>
      <c r="G8" s="98">
        <v>8</v>
      </c>
      <c r="H8" s="98">
        <v>3</v>
      </c>
      <c r="I8" s="98">
        <v>8</v>
      </c>
      <c r="J8" s="98">
        <v>14</v>
      </c>
      <c r="K8" s="98">
        <v>22</v>
      </c>
      <c r="L8" s="98">
        <v>11</v>
      </c>
      <c r="M8" s="98">
        <v>42</v>
      </c>
      <c r="N8" s="98">
        <v>0</v>
      </c>
      <c r="O8" s="98">
        <v>6</v>
      </c>
      <c r="P8" s="98">
        <v>0</v>
      </c>
      <c r="Q8" s="98">
        <v>3</v>
      </c>
      <c r="R8" s="98">
        <v>4</v>
      </c>
      <c r="S8" s="98">
        <v>88</v>
      </c>
      <c r="T8" s="98">
        <v>6</v>
      </c>
      <c r="U8" s="98">
        <v>7</v>
      </c>
      <c r="V8" s="98">
        <v>3</v>
      </c>
      <c r="W8" s="98">
        <v>3</v>
      </c>
      <c r="X8" s="98">
        <v>3</v>
      </c>
      <c r="Y8" s="98">
        <v>0</v>
      </c>
    </row>
    <row r="9" spans="1:26" x14ac:dyDescent="0.25">
      <c r="A9" t="s">
        <v>439</v>
      </c>
      <c r="B9" s="98">
        <v>129521</v>
      </c>
      <c r="C9" s="147">
        <f t="shared" si="0"/>
        <v>43.682491642281946</v>
      </c>
      <c r="D9" s="98">
        <v>56578</v>
      </c>
      <c r="E9" s="98">
        <v>1265</v>
      </c>
      <c r="F9" s="98">
        <v>49</v>
      </c>
      <c r="G9" s="98">
        <v>2005</v>
      </c>
      <c r="H9" s="98">
        <v>364</v>
      </c>
      <c r="I9" s="98">
        <v>467</v>
      </c>
      <c r="J9" s="98">
        <v>2640</v>
      </c>
      <c r="K9" s="98">
        <v>9340</v>
      </c>
      <c r="L9" s="98">
        <v>2443</v>
      </c>
      <c r="M9" s="98">
        <v>19879</v>
      </c>
      <c r="N9" s="98">
        <v>461</v>
      </c>
      <c r="O9" s="98">
        <v>437</v>
      </c>
      <c r="P9" s="98">
        <v>86</v>
      </c>
      <c r="Q9" s="98">
        <v>2288</v>
      </c>
      <c r="R9" s="98">
        <v>2201</v>
      </c>
      <c r="S9" s="98">
        <v>4788</v>
      </c>
      <c r="T9" s="98">
        <v>3371</v>
      </c>
      <c r="U9" s="98">
        <v>2205</v>
      </c>
      <c r="V9" s="98">
        <v>876</v>
      </c>
      <c r="W9" s="98">
        <v>1148</v>
      </c>
      <c r="X9" s="98">
        <v>255</v>
      </c>
      <c r="Y9" s="98">
        <v>3</v>
      </c>
    </row>
    <row r="11" spans="1:26" x14ac:dyDescent="0.25">
      <c r="C11" t="s">
        <v>484</v>
      </c>
    </row>
    <row r="12" spans="1:26" x14ac:dyDescent="0.25">
      <c r="A12" s="94" t="s">
        <v>41</v>
      </c>
      <c r="B12" s="95">
        <v>10482487</v>
      </c>
      <c r="C12" s="148">
        <f>(D12/B12)*100</f>
        <v>6.2890419038917011</v>
      </c>
      <c r="D12" s="98">
        <v>659248</v>
      </c>
      <c r="E12" s="98">
        <v>25258</v>
      </c>
      <c r="F12" s="98">
        <v>584</v>
      </c>
      <c r="G12" s="98">
        <v>46330</v>
      </c>
      <c r="H12" s="98">
        <v>2687</v>
      </c>
      <c r="I12" s="98">
        <v>8258</v>
      </c>
      <c r="J12" s="98">
        <v>43957</v>
      </c>
      <c r="K12" s="98">
        <v>83447</v>
      </c>
      <c r="L12" s="98">
        <v>24141</v>
      </c>
      <c r="M12" s="98">
        <v>96347</v>
      </c>
      <c r="N12" s="98">
        <v>10746</v>
      </c>
      <c r="O12" s="98">
        <v>6417</v>
      </c>
      <c r="P12" s="98">
        <v>1406</v>
      </c>
      <c r="Q12" s="98">
        <v>21420</v>
      </c>
      <c r="R12" s="98">
        <v>20773</v>
      </c>
      <c r="S12" s="98">
        <v>29404</v>
      </c>
      <c r="T12" s="98">
        <v>25421</v>
      </c>
      <c r="U12" s="98">
        <v>20587</v>
      </c>
      <c r="V12" s="98">
        <v>11874</v>
      </c>
      <c r="W12" s="98">
        <v>12344</v>
      </c>
      <c r="X12" s="98">
        <v>8855</v>
      </c>
      <c r="Y12" s="98">
        <v>167</v>
      </c>
      <c r="Z12" s="98">
        <v>158821</v>
      </c>
    </row>
    <row r="13" spans="1:26" x14ac:dyDescent="0.25">
      <c r="A13" t="s">
        <v>437</v>
      </c>
      <c r="B13" s="98">
        <v>51694</v>
      </c>
      <c r="C13" s="148">
        <f t="shared" ref="C13:C19" si="1">(D13/B13)*100</f>
        <v>5.3836035129802298</v>
      </c>
      <c r="D13" s="98">
        <v>2783</v>
      </c>
      <c r="E13" s="98">
        <v>120</v>
      </c>
      <c r="F13" s="98">
        <v>0</v>
      </c>
      <c r="G13" s="98">
        <v>82</v>
      </c>
      <c r="H13" s="98">
        <v>22</v>
      </c>
      <c r="I13" s="98">
        <v>70</v>
      </c>
      <c r="J13" s="98">
        <v>172</v>
      </c>
      <c r="K13" s="98">
        <v>292</v>
      </c>
      <c r="L13" s="98">
        <v>258</v>
      </c>
      <c r="M13" s="98">
        <v>398</v>
      </c>
      <c r="N13" s="98">
        <v>36</v>
      </c>
      <c r="O13" s="98">
        <v>13</v>
      </c>
      <c r="P13" s="98">
        <v>3</v>
      </c>
      <c r="Q13" s="98">
        <v>71</v>
      </c>
      <c r="R13" s="98">
        <v>56</v>
      </c>
      <c r="S13" s="98">
        <v>184</v>
      </c>
      <c r="T13" s="98">
        <v>135</v>
      </c>
      <c r="U13" s="98">
        <v>98</v>
      </c>
      <c r="V13" s="98">
        <v>47</v>
      </c>
      <c r="W13" s="98">
        <v>67</v>
      </c>
      <c r="X13" s="98">
        <v>19</v>
      </c>
      <c r="Y13" s="98">
        <v>4</v>
      </c>
      <c r="Z13" s="98">
        <v>645</v>
      </c>
    </row>
    <row r="14" spans="1:26" x14ac:dyDescent="0.25">
      <c r="A14" t="s">
        <v>36</v>
      </c>
      <c r="B14" s="97">
        <v>50358</v>
      </c>
      <c r="C14" s="148">
        <f t="shared" si="1"/>
        <v>5.357639302593431</v>
      </c>
      <c r="D14" s="97">
        <v>2698</v>
      </c>
      <c r="E14" s="97">
        <v>118</v>
      </c>
      <c r="F14" s="97">
        <v>0</v>
      </c>
      <c r="G14" s="97">
        <v>80</v>
      </c>
      <c r="H14" s="97">
        <v>22</v>
      </c>
      <c r="I14" s="97">
        <v>70</v>
      </c>
      <c r="J14" s="97">
        <v>161</v>
      </c>
      <c r="K14" s="97">
        <v>291</v>
      </c>
      <c r="L14" s="97">
        <v>245</v>
      </c>
      <c r="M14" s="97">
        <v>383</v>
      </c>
      <c r="N14" s="97">
        <v>33</v>
      </c>
      <c r="O14" s="97">
        <v>11</v>
      </c>
      <c r="P14" s="97">
        <v>3</v>
      </c>
      <c r="Q14" s="97">
        <v>68</v>
      </c>
      <c r="R14" s="97">
        <v>56</v>
      </c>
      <c r="S14" s="97">
        <v>172</v>
      </c>
      <c r="T14" s="97">
        <v>133</v>
      </c>
      <c r="U14" s="97">
        <v>97</v>
      </c>
      <c r="V14" s="97">
        <v>47</v>
      </c>
      <c r="W14" s="97">
        <v>67</v>
      </c>
      <c r="X14" s="97">
        <v>19</v>
      </c>
      <c r="Y14" s="97">
        <v>4</v>
      </c>
      <c r="Z14" s="97">
        <v>628</v>
      </c>
    </row>
    <row r="15" spans="1:26" x14ac:dyDescent="0.25">
      <c r="A15" t="s">
        <v>436</v>
      </c>
      <c r="B15" s="97">
        <v>422</v>
      </c>
      <c r="C15" s="148">
        <f t="shared" si="1"/>
        <v>4.5023696682464456</v>
      </c>
      <c r="D15" s="97">
        <v>19</v>
      </c>
      <c r="E15" s="97">
        <v>0</v>
      </c>
      <c r="F15" s="97">
        <v>0</v>
      </c>
      <c r="G15" s="97">
        <v>0</v>
      </c>
      <c r="H15" s="97">
        <v>0</v>
      </c>
      <c r="I15" s="97">
        <v>0</v>
      </c>
      <c r="J15" s="97">
        <v>4</v>
      </c>
      <c r="K15" s="97">
        <v>0</v>
      </c>
      <c r="L15" s="97">
        <v>6</v>
      </c>
      <c r="M15" s="97">
        <v>0</v>
      </c>
      <c r="N15" s="97">
        <v>0</v>
      </c>
      <c r="O15" s="97">
        <v>0</v>
      </c>
      <c r="P15" s="97">
        <v>0</v>
      </c>
      <c r="Q15" s="97">
        <v>0</v>
      </c>
      <c r="R15" s="97">
        <v>0</v>
      </c>
      <c r="S15" s="97">
        <v>3</v>
      </c>
      <c r="T15" s="97">
        <v>0</v>
      </c>
      <c r="U15" s="97">
        <v>0</v>
      </c>
      <c r="V15" s="97">
        <v>0</v>
      </c>
      <c r="W15" s="97">
        <v>0</v>
      </c>
      <c r="X15" s="97">
        <v>0</v>
      </c>
      <c r="Y15" s="97">
        <v>0</v>
      </c>
      <c r="Z15" s="97">
        <v>5</v>
      </c>
    </row>
    <row r="16" spans="1:26" x14ac:dyDescent="0.25">
      <c r="A16" t="s">
        <v>174</v>
      </c>
      <c r="B16" s="97">
        <v>914</v>
      </c>
      <c r="C16" s="148">
        <f t="shared" si="1"/>
        <v>7.8774617067833699</v>
      </c>
      <c r="D16" s="97">
        <v>72</v>
      </c>
      <c r="E16" s="97">
        <v>5</v>
      </c>
      <c r="F16" s="97">
        <v>0</v>
      </c>
      <c r="G16" s="97">
        <v>0</v>
      </c>
      <c r="H16" s="97">
        <v>0</v>
      </c>
      <c r="I16" s="97">
        <v>0</v>
      </c>
      <c r="J16" s="97">
        <v>7</v>
      </c>
      <c r="K16" s="97">
        <v>4</v>
      </c>
      <c r="L16" s="97">
        <v>7</v>
      </c>
      <c r="M16" s="97">
        <v>10</v>
      </c>
      <c r="N16" s="97">
        <v>5</v>
      </c>
      <c r="O16" s="97">
        <v>4</v>
      </c>
      <c r="P16" s="97">
        <v>0</v>
      </c>
      <c r="Q16" s="97">
        <v>0</v>
      </c>
      <c r="R16" s="97">
        <v>3</v>
      </c>
      <c r="S16" s="97">
        <v>9</v>
      </c>
      <c r="T16" s="97">
        <v>4</v>
      </c>
      <c r="U16" s="97">
        <v>0</v>
      </c>
      <c r="V16" s="97">
        <v>0</v>
      </c>
      <c r="W16" s="97">
        <v>0</v>
      </c>
      <c r="X16" s="97">
        <v>3</v>
      </c>
      <c r="Y16" s="97">
        <v>0</v>
      </c>
      <c r="Z16" s="97">
        <v>12</v>
      </c>
    </row>
    <row r="17" spans="1:29" x14ac:dyDescent="0.25">
      <c r="C17" s="148" t="e">
        <f t="shared" si="1"/>
        <v>#DIV/0!</v>
      </c>
    </row>
    <row r="18" spans="1:29" x14ac:dyDescent="0.25">
      <c r="A18" t="s">
        <v>438</v>
      </c>
      <c r="B18">
        <v>587</v>
      </c>
      <c r="C18" s="148">
        <f t="shared" si="1"/>
        <v>5.4514480408858601</v>
      </c>
      <c r="D18" s="97">
        <v>32</v>
      </c>
      <c r="E18" s="97">
        <v>0</v>
      </c>
      <c r="F18" s="97">
        <v>0</v>
      </c>
      <c r="G18" s="97">
        <v>0</v>
      </c>
      <c r="H18" s="97">
        <v>0</v>
      </c>
      <c r="I18" s="97">
        <v>0</v>
      </c>
      <c r="J18" s="97">
        <v>0</v>
      </c>
      <c r="K18" s="97">
        <v>0</v>
      </c>
      <c r="L18" s="97">
        <v>0</v>
      </c>
      <c r="M18" s="97">
        <v>16</v>
      </c>
      <c r="N18" s="97">
        <v>0</v>
      </c>
      <c r="O18" s="97">
        <v>0</v>
      </c>
      <c r="P18" s="97">
        <v>0</v>
      </c>
      <c r="Q18" s="97">
        <v>0</v>
      </c>
      <c r="R18" s="97">
        <v>0</v>
      </c>
      <c r="S18" s="97">
        <v>3</v>
      </c>
      <c r="T18" s="97">
        <v>0</v>
      </c>
      <c r="U18" s="97">
        <v>0</v>
      </c>
      <c r="V18" s="97">
        <v>0</v>
      </c>
      <c r="W18" s="97">
        <v>0</v>
      </c>
      <c r="X18" s="97">
        <v>0</v>
      </c>
      <c r="Y18" s="97">
        <v>0</v>
      </c>
      <c r="Z18" s="97">
        <v>8</v>
      </c>
    </row>
    <row r="19" spans="1:29" x14ac:dyDescent="0.25">
      <c r="A19" t="s">
        <v>439</v>
      </c>
      <c r="B19" s="98">
        <v>129521</v>
      </c>
      <c r="C19" s="148">
        <f t="shared" si="1"/>
        <v>4.8586715667729559</v>
      </c>
      <c r="D19" s="98">
        <v>6293</v>
      </c>
      <c r="E19" s="98">
        <v>119</v>
      </c>
      <c r="F19" s="98">
        <v>0</v>
      </c>
      <c r="G19" s="98">
        <v>166</v>
      </c>
      <c r="H19" s="98">
        <v>32</v>
      </c>
      <c r="I19" s="98">
        <v>33</v>
      </c>
      <c r="J19" s="98">
        <v>395</v>
      </c>
      <c r="K19" s="98">
        <v>678</v>
      </c>
      <c r="L19" s="98">
        <v>239</v>
      </c>
      <c r="M19" s="98">
        <v>1793</v>
      </c>
      <c r="N19" s="98">
        <v>47</v>
      </c>
      <c r="O19" s="98">
        <v>36</v>
      </c>
      <c r="P19" s="98">
        <v>4</v>
      </c>
      <c r="Q19" s="98">
        <v>124</v>
      </c>
      <c r="R19" s="98">
        <v>186</v>
      </c>
      <c r="S19" s="98">
        <v>191</v>
      </c>
      <c r="T19" s="98">
        <v>228</v>
      </c>
      <c r="U19" s="98">
        <v>94</v>
      </c>
      <c r="V19" s="98">
        <v>102</v>
      </c>
      <c r="W19" s="98">
        <v>89</v>
      </c>
      <c r="X19" s="98">
        <v>23</v>
      </c>
      <c r="Y19" s="98">
        <v>3</v>
      </c>
      <c r="Z19" s="98">
        <v>1707</v>
      </c>
    </row>
    <row r="22" spans="1:29" x14ac:dyDescent="0.25">
      <c r="A22" s="94" t="s">
        <v>41</v>
      </c>
      <c r="B22" s="95">
        <v>10482487</v>
      </c>
      <c r="C22" s="31">
        <f>(D22/B22)*100</f>
        <v>44.319282246665317</v>
      </c>
      <c r="D22" s="103">
        <f>D2+D12</f>
        <v>4645763</v>
      </c>
      <c r="E22" s="103">
        <f t="shared" ref="E22:Z22" si="2">E2+E12</f>
        <v>382526</v>
      </c>
      <c r="F22" s="103">
        <f t="shared" si="2"/>
        <v>7437</v>
      </c>
      <c r="G22" s="103">
        <f t="shared" si="2"/>
        <v>402143</v>
      </c>
      <c r="H22" s="103">
        <f t="shared" si="2"/>
        <v>28567</v>
      </c>
      <c r="I22" s="103">
        <f t="shared" si="2"/>
        <v>36406</v>
      </c>
      <c r="J22" s="103">
        <f t="shared" si="2"/>
        <v>228720</v>
      </c>
      <c r="K22" s="103">
        <f t="shared" si="2"/>
        <v>803207</v>
      </c>
      <c r="L22" s="103">
        <f t="shared" si="2"/>
        <v>234321</v>
      </c>
      <c r="M22" s="103">
        <f t="shared" si="2"/>
        <v>533581</v>
      </c>
      <c r="N22" s="103">
        <f t="shared" si="2"/>
        <v>113800</v>
      </c>
      <c r="O22" s="103">
        <f t="shared" si="2"/>
        <v>82979</v>
      </c>
      <c r="P22" s="103">
        <f t="shared" si="2"/>
        <v>14843</v>
      </c>
      <c r="Q22" s="103">
        <f t="shared" si="2"/>
        <v>275867</v>
      </c>
      <c r="R22" s="103">
        <f t="shared" si="2"/>
        <v>145279</v>
      </c>
      <c r="S22" s="103">
        <f t="shared" si="2"/>
        <v>377468</v>
      </c>
      <c r="T22" s="103">
        <f t="shared" si="2"/>
        <v>321510</v>
      </c>
      <c r="U22" s="103">
        <f t="shared" si="2"/>
        <v>292441</v>
      </c>
      <c r="V22" s="103">
        <f t="shared" si="2"/>
        <v>68727</v>
      </c>
      <c r="W22" s="103">
        <f t="shared" si="2"/>
        <v>105628</v>
      </c>
      <c r="X22" s="103">
        <f t="shared" si="2"/>
        <v>29800</v>
      </c>
      <c r="Y22" s="103">
        <f t="shared" si="2"/>
        <v>1704</v>
      </c>
      <c r="Z22" s="103">
        <f t="shared" si="2"/>
        <v>158821</v>
      </c>
    </row>
    <row r="23" spans="1:29" x14ac:dyDescent="0.25">
      <c r="A23" t="s">
        <v>437</v>
      </c>
      <c r="B23" s="98">
        <v>51694</v>
      </c>
      <c r="C23" s="31">
        <f t="shared" ref="C23:C29" si="3">(D23/B23)*100</f>
        <v>40.221302278794447</v>
      </c>
      <c r="D23" s="103">
        <f t="shared" ref="D23:Z23" si="4">D3+D13</f>
        <v>20792</v>
      </c>
      <c r="E23" s="103">
        <f t="shared" si="4"/>
        <v>1870</v>
      </c>
      <c r="F23" s="103">
        <f t="shared" si="4"/>
        <v>12</v>
      </c>
      <c r="G23" s="103">
        <f t="shared" si="4"/>
        <v>925</v>
      </c>
      <c r="H23" s="103">
        <f t="shared" si="4"/>
        <v>143</v>
      </c>
      <c r="I23" s="103">
        <f t="shared" si="4"/>
        <v>243</v>
      </c>
      <c r="J23" s="103">
        <f t="shared" si="4"/>
        <v>1239</v>
      </c>
      <c r="K23" s="103">
        <f t="shared" si="4"/>
        <v>3080</v>
      </c>
      <c r="L23" s="103">
        <f t="shared" si="4"/>
        <v>1778</v>
      </c>
      <c r="M23" s="103">
        <f t="shared" si="4"/>
        <v>2190</v>
      </c>
      <c r="N23" s="103">
        <f t="shared" si="4"/>
        <v>195</v>
      </c>
      <c r="O23" s="103">
        <f t="shared" si="4"/>
        <v>250</v>
      </c>
      <c r="P23" s="103">
        <f t="shared" si="4"/>
        <v>32</v>
      </c>
      <c r="Q23" s="103">
        <f t="shared" si="4"/>
        <v>943</v>
      </c>
      <c r="R23" s="103">
        <f t="shared" si="4"/>
        <v>339</v>
      </c>
      <c r="S23" s="103">
        <f t="shared" si="4"/>
        <v>3171</v>
      </c>
      <c r="T23" s="103">
        <f t="shared" si="4"/>
        <v>1721</v>
      </c>
      <c r="U23" s="103">
        <f t="shared" si="4"/>
        <v>1255</v>
      </c>
      <c r="V23" s="103">
        <f t="shared" si="4"/>
        <v>231</v>
      </c>
      <c r="W23" s="103">
        <f t="shared" si="4"/>
        <v>442</v>
      </c>
      <c r="X23" s="103">
        <f t="shared" si="4"/>
        <v>96</v>
      </c>
      <c r="Y23" s="103">
        <f t="shared" si="4"/>
        <v>9</v>
      </c>
      <c r="Z23" s="103">
        <f t="shared" si="4"/>
        <v>645</v>
      </c>
    </row>
    <row r="24" spans="1:29" x14ac:dyDescent="0.25">
      <c r="A24" t="s">
        <v>36</v>
      </c>
      <c r="B24" s="97">
        <v>50358</v>
      </c>
      <c r="C24" s="31">
        <f t="shared" si="3"/>
        <v>40.442432185551453</v>
      </c>
      <c r="D24" s="103">
        <f t="shared" ref="D24:Z24" si="5">D4+D14</f>
        <v>20366</v>
      </c>
      <c r="E24" s="103">
        <f t="shared" si="5"/>
        <v>1824</v>
      </c>
      <c r="F24" s="103">
        <f t="shared" si="5"/>
        <v>12</v>
      </c>
      <c r="G24" s="103">
        <f t="shared" si="5"/>
        <v>915</v>
      </c>
      <c r="H24" s="103">
        <f t="shared" si="5"/>
        <v>136</v>
      </c>
      <c r="I24" s="103">
        <f t="shared" si="5"/>
        <v>235</v>
      </c>
      <c r="J24" s="103">
        <f t="shared" si="5"/>
        <v>1213</v>
      </c>
      <c r="K24" s="103">
        <f t="shared" si="5"/>
        <v>3059</v>
      </c>
      <c r="L24" s="103">
        <f t="shared" si="5"/>
        <v>1681</v>
      </c>
      <c r="M24" s="103">
        <f t="shared" si="5"/>
        <v>2147</v>
      </c>
      <c r="N24" s="103">
        <f t="shared" si="5"/>
        <v>189</v>
      </c>
      <c r="O24" s="103">
        <f t="shared" si="5"/>
        <v>239</v>
      </c>
      <c r="P24" s="103">
        <f t="shared" si="5"/>
        <v>34</v>
      </c>
      <c r="Q24" s="103">
        <f t="shared" si="5"/>
        <v>926</v>
      </c>
      <c r="R24" s="103">
        <f t="shared" si="5"/>
        <v>334</v>
      </c>
      <c r="S24" s="103">
        <f t="shared" si="5"/>
        <v>3104</v>
      </c>
      <c r="T24" s="103">
        <f t="shared" si="5"/>
        <v>1699</v>
      </c>
      <c r="U24" s="103">
        <f t="shared" si="5"/>
        <v>1242</v>
      </c>
      <c r="V24" s="103">
        <f t="shared" si="5"/>
        <v>227</v>
      </c>
      <c r="W24" s="103">
        <f t="shared" si="5"/>
        <v>424</v>
      </c>
      <c r="X24" s="103">
        <f t="shared" si="5"/>
        <v>97</v>
      </c>
      <c r="Y24" s="103">
        <f t="shared" si="5"/>
        <v>9</v>
      </c>
      <c r="Z24" s="103">
        <f t="shared" si="5"/>
        <v>628</v>
      </c>
    </row>
    <row r="25" spans="1:29" x14ac:dyDescent="0.25">
      <c r="A25" t="s">
        <v>436</v>
      </c>
      <c r="B25" s="97">
        <v>422</v>
      </c>
      <c r="C25" s="31">
        <f t="shared" si="3"/>
        <v>56.872037914691944</v>
      </c>
      <c r="D25" s="103">
        <f t="shared" ref="D25:Z25" si="6">D5+D15</f>
        <v>240</v>
      </c>
      <c r="E25" s="103">
        <f t="shared" si="6"/>
        <v>25</v>
      </c>
      <c r="F25" s="103">
        <f t="shared" si="6"/>
        <v>0</v>
      </c>
      <c r="G25" s="103">
        <f t="shared" si="6"/>
        <v>6</v>
      </c>
      <c r="H25" s="103">
        <f t="shared" si="6"/>
        <v>4</v>
      </c>
      <c r="I25" s="103">
        <f t="shared" si="6"/>
        <v>6</v>
      </c>
      <c r="J25" s="103">
        <f t="shared" si="6"/>
        <v>18</v>
      </c>
      <c r="K25" s="103">
        <f t="shared" si="6"/>
        <v>20</v>
      </c>
      <c r="L25" s="103">
        <f t="shared" si="6"/>
        <v>59</v>
      </c>
      <c r="M25" s="103">
        <f t="shared" si="6"/>
        <v>16</v>
      </c>
      <c r="N25" s="103">
        <f t="shared" si="6"/>
        <v>3</v>
      </c>
      <c r="O25" s="103">
        <f t="shared" si="6"/>
        <v>5</v>
      </c>
      <c r="P25" s="103">
        <f t="shared" si="6"/>
        <v>0</v>
      </c>
      <c r="Q25" s="103">
        <f t="shared" si="6"/>
        <v>11</v>
      </c>
      <c r="R25" s="103">
        <f t="shared" si="6"/>
        <v>3</v>
      </c>
      <c r="S25" s="103">
        <f t="shared" si="6"/>
        <v>33</v>
      </c>
      <c r="T25" s="103">
        <f t="shared" si="6"/>
        <v>8</v>
      </c>
      <c r="U25" s="103">
        <f t="shared" si="6"/>
        <v>6</v>
      </c>
      <c r="V25" s="103">
        <f t="shared" si="6"/>
        <v>0</v>
      </c>
      <c r="W25" s="103">
        <f t="shared" si="6"/>
        <v>17</v>
      </c>
      <c r="X25" s="103">
        <f t="shared" si="6"/>
        <v>5</v>
      </c>
      <c r="Y25" s="103">
        <f t="shared" si="6"/>
        <v>0</v>
      </c>
      <c r="Z25" s="103">
        <f t="shared" si="6"/>
        <v>5</v>
      </c>
    </row>
    <row r="26" spans="1:29" x14ac:dyDescent="0.25">
      <c r="A26" t="s">
        <v>174</v>
      </c>
      <c r="B26" s="97">
        <v>914</v>
      </c>
      <c r="C26" s="31">
        <f t="shared" si="3"/>
        <v>20.897155361050331</v>
      </c>
      <c r="D26" s="103">
        <f t="shared" ref="D26:Z26" si="7">D6+D16</f>
        <v>191</v>
      </c>
      <c r="E26" s="103">
        <f t="shared" si="7"/>
        <v>24</v>
      </c>
      <c r="F26" s="103">
        <f t="shared" si="7"/>
        <v>0</v>
      </c>
      <c r="G26" s="103">
        <f t="shared" si="7"/>
        <v>3</v>
      </c>
      <c r="H26" s="103">
        <f t="shared" si="7"/>
        <v>3</v>
      </c>
      <c r="I26" s="103">
        <f t="shared" si="7"/>
        <v>3</v>
      </c>
      <c r="J26" s="103">
        <f t="shared" si="7"/>
        <v>12</v>
      </c>
      <c r="K26" s="103">
        <f t="shared" si="7"/>
        <v>9</v>
      </c>
      <c r="L26" s="103">
        <f t="shared" si="7"/>
        <v>38</v>
      </c>
      <c r="M26" s="103">
        <f t="shared" si="7"/>
        <v>21</v>
      </c>
      <c r="N26" s="103">
        <f t="shared" si="7"/>
        <v>5</v>
      </c>
      <c r="O26" s="103">
        <f t="shared" si="7"/>
        <v>4</v>
      </c>
      <c r="P26" s="103">
        <f t="shared" si="7"/>
        <v>0</v>
      </c>
      <c r="Q26" s="103">
        <f t="shared" si="7"/>
        <v>4</v>
      </c>
      <c r="R26" s="103">
        <f t="shared" si="7"/>
        <v>3</v>
      </c>
      <c r="S26" s="103">
        <f t="shared" si="7"/>
        <v>34</v>
      </c>
      <c r="T26" s="103">
        <f t="shared" si="7"/>
        <v>10</v>
      </c>
      <c r="U26" s="103">
        <f t="shared" si="7"/>
        <v>6</v>
      </c>
      <c r="V26" s="103">
        <f t="shared" si="7"/>
        <v>0</v>
      </c>
      <c r="W26" s="103">
        <f t="shared" si="7"/>
        <v>3</v>
      </c>
      <c r="X26" s="103">
        <f t="shared" si="7"/>
        <v>3</v>
      </c>
      <c r="Y26" s="103">
        <f t="shared" si="7"/>
        <v>0</v>
      </c>
      <c r="Z26" s="103">
        <f t="shared" si="7"/>
        <v>12</v>
      </c>
    </row>
    <row r="27" spans="1:29" x14ac:dyDescent="0.25">
      <c r="C27" s="31" t="e">
        <f t="shared" si="3"/>
        <v>#DIV/0!</v>
      </c>
      <c r="D27" s="103">
        <f t="shared" ref="D27:Z27" si="8">D7+D17</f>
        <v>0</v>
      </c>
      <c r="E27" s="103">
        <f t="shared" si="8"/>
        <v>0</v>
      </c>
      <c r="F27" s="103">
        <f t="shared" si="8"/>
        <v>0</v>
      </c>
      <c r="G27" s="103">
        <f t="shared" si="8"/>
        <v>0</v>
      </c>
      <c r="H27" s="103">
        <f t="shared" si="8"/>
        <v>0</v>
      </c>
      <c r="I27" s="103">
        <f t="shared" si="8"/>
        <v>0</v>
      </c>
      <c r="J27" s="103">
        <f t="shared" si="8"/>
        <v>0</v>
      </c>
      <c r="K27" s="103">
        <f t="shared" si="8"/>
        <v>0</v>
      </c>
      <c r="L27" s="103">
        <f t="shared" si="8"/>
        <v>0</v>
      </c>
      <c r="M27" s="103">
        <f t="shared" si="8"/>
        <v>0</v>
      </c>
      <c r="N27" s="103">
        <f t="shared" si="8"/>
        <v>0</v>
      </c>
      <c r="O27" s="103">
        <f t="shared" si="8"/>
        <v>0</v>
      </c>
      <c r="P27" s="103">
        <f t="shared" si="8"/>
        <v>0</v>
      </c>
      <c r="Q27" s="103">
        <f t="shared" si="8"/>
        <v>0</v>
      </c>
      <c r="R27" s="103">
        <f t="shared" si="8"/>
        <v>0</v>
      </c>
      <c r="S27" s="103">
        <f t="shared" si="8"/>
        <v>0</v>
      </c>
      <c r="T27" s="103">
        <f t="shared" si="8"/>
        <v>0</v>
      </c>
      <c r="U27" s="103">
        <f t="shared" si="8"/>
        <v>0</v>
      </c>
      <c r="V27" s="103">
        <f t="shared" si="8"/>
        <v>0</v>
      </c>
      <c r="W27" s="103">
        <f t="shared" si="8"/>
        <v>0</v>
      </c>
      <c r="X27" s="103">
        <f t="shared" si="8"/>
        <v>0</v>
      </c>
      <c r="Y27" s="103">
        <f t="shared" si="8"/>
        <v>0</v>
      </c>
      <c r="Z27" s="103">
        <f t="shared" si="8"/>
        <v>0</v>
      </c>
    </row>
    <row r="28" spans="1:29" x14ac:dyDescent="0.25">
      <c r="A28" t="s">
        <v>438</v>
      </c>
      <c r="B28">
        <v>587</v>
      </c>
      <c r="C28" s="31">
        <f t="shared" si="3"/>
        <v>44.974446337308351</v>
      </c>
      <c r="D28" s="103">
        <f t="shared" ref="D28:Z29" si="9">D8+D18</f>
        <v>264</v>
      </c>
      <c r="E28" s="103">
        <f t="shared" si="9"/>
        <v>10</v>
      </c>
      <c r="F28" s="103">
        <f t="shared" si="9"/>
        <v>0</v>
      </c>
      <c r="G28" s="103">
        <f t="shared" si="9"/>
        <v>8</v>
      </c>
      <c r="H28" s="103">
        <f t="shared" si="9"/>
        <v>3</v>
      </c>
      <c r="I28" s="103">
        <f t="shared" si="9"/>
        <v>8</v>
      </c>
      <c r="J28" s="103">
        <f t="shared" si="9"/>
        <v>14</v>
      </c>
      <c r="K28" s="103">
        <f t="shared" si="9"/>
        <v>22</v>
      </c>
      <c r="L28" s="103">
        <f t="shared" si="9"/>
        <v>11</v>
      </c>
      <c r="M28" s="103">
        <f t="shared" si="9"/>
        <v>58</v>
      </c>
      <c r="N28" s="103">
        <f t="shared" si="9"/>
        <v>0</v>
      </c>
      <c r="O28" s="103">
        <f t="shared" si="9"/>
        <v>6</v>
      </c>
      <c r="P28" s="103">
        <f t="shared" si="9"/>
        <v>0</v>
      </c>
      <c r="Q28" s="103">
        <f t="shared" si="9"/>
        <v>3</v>
      </c>
      <c r="R28" s="103">
        <f t="shared" si="9"/>
        <v>4</v>
      </c>
      <c r="S28" s="103">
        <f t="shared" si="9"/>
        <v>91</v>
      </c>
      <c r="T28" s="103">
        <f t="shared" si="9"/>
        <v>6</v>
      </c>
      <c r="U28" s="103">
        <f t="shared" si="9"/>
        <v>7</v>
      </c>
      <c r="V28" s="103">
        <f t="shared" si="9"/>
        <v>3</v>
      </c>
      <c r="W28" s="103">
        <f t="shared" si="9"/>
        <v>3</v>
      </c>
      <c r="X28" s="103">
        <f t="shared" si="9"/>
        <v>3</v>
      </c>
      <c r="Y28" s="103">
        <f t="shared" si="9"/>
        <v>0</v>
      </c>
      <c r="Z28" s="103">
        <f t="shared" si="9"/>
        <v>8</v>
      </c>
    </row>
    <row r="29" spans="1:29" x14ac:dyDescent="0.25">
      <c r="A29" t="s">
        <v>439</v>
      </c>
      <c r="B29" s="98">
        <v>129521</v>
      </c>
      <c r="C29" s="31">
        <f t="shared" si="3"/>
        <v>48.541163209054908</v>
      </c>
      <c r="D29" s="103">
        <f>D9+D19</f>
        <v>62871</v>
      </c>
      <c r="E29" s="103">
        <f t="shared" si="9"/>
        <v>1384</v>
      </c>
      <c r="F29" s="103">
        <f t="shared" si="9"/>
        <v>49</v>
      </c>
      <c r="G29" s="103">
        <f t="shared" si="9"/>
        <v>2171</v>
      </c>
      <c r="H29" s="103">
        <f t="shared" si="9"/>
        <v>396</v>
      </c>
      <c r="I29" s="103">
        <f t="shared" si="9"/>
        <v>500</v>
      </c>
      <c r="J29" s="103">
        <f t="shared" si="9"/>
        <v>3035</v>
      </c>
      <c r="K29" s="103">
        <f t="shared" si="9"/>
        <v>10018</v>
      </c>
      <c r="L29" s="103">
        <f t="shared" si="9"/>
        <v>2682</v>
      </c>
      <c r="M29" s="103">
        <f t="shared" si="9"/>
        <v>21672</v>
      </c>
      <c r="N29" s="103">
        <f t="shared" si="9"/>
        <v>508</v>
      </c>
      <c r="O29" s="103">
        <f t="shared" si="9"/>
        <v>473</v>
      </c>
      <c r="P29" s="103">
        <f t="shared" si="9"/>
        <v>90</v>
      </c>
      <c r="Q29" s="103">
        <f t="shared" si="9"/>
        <v>2412</v>
      </c>
      <c r="R29" s="103">
        <f t="shared" si="9"/>
        <v>2387</v>
      </c>
      <c r="S29" s="103">
        <f t="shared" si="9"/>
        <v>4979</v>
      </c>
      <c r="T29" s="103">
        <f t="shared" si="9"/>
        <v>3599</v>
      </c>
      <c r="U29" s="103">
        <f t="shared" si="9"/>
        <v>2299</v>
      </c>
      <c r="V29" s="103">
        <f t="shared" si="9"/>
        <v>978</v>
      </c>
      <c r="W29" s="103">
        <f t="shared" si="9"/>
        <v>1237</v>
      </c>
      <c r="X29" s="103">
        <f t="shared" si="9"/>
        <v>278</v>
      </c>
      <c r="Y29" s="103">
        <f t="shared" si="9"/>
        <v>6</v>
      </c>
      <c r="Z29" s="103">
        <f t="shared" si="9"/>
        <v>1707</v>
      </c>
    </row>
    <row r="30" spans="1:29" x14ac:dyDescent="0.25">
      <c r="B30" s="98"/>
      <c r="C30" s="31"/>
      <c r="D30" s="103"/>
      <c r="E30" s="103"/>
      <c r="F30" s="103"/>
      <c r="G30" s="103"/>
      <c r="H30" s="103"/>
      <c r="I30" s="103"/>
      <c r="J30" s="103"/>
      <c r="K30" s="103"/>
      <c r="L30" s="103"/>
      <c r="M30" s="103"/>
      <c r="N30" s="103"/>
      <c r="O30" s="103"/>
      <c r="P30" s="103"/>
      <c r="Q30" s="103"/>
      <c r="R30" s="103"/>
      <c r="S30" s="103"/>
      <c r="T30" s="103"/>
      <c r="U30" s="103"/>
      <c r="V30" s="103"/>
      <c r="W30" s="103"/>
      <c r="X30" s="103"/>
      <c r="Y30" s="103"/>
      <c r="Z30" s="103"/>
      <c r="AC30" s="157">
        <v>290772</v>
      </c>
    </row>
    <row r="31" spans="1:29" x14ac:dyDescent="0.25">
      <c r="B31" s="98"/>
      <c r="C31" s="31"/>
      <c r="D31" s="103"/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C31" s="158">
        <v>6174</v>
      </c>
    </row>
    <row r="32" spans="1:29" x14ac:dyDescent="0.25">
      <c r="A32" s="94" t="s">
        <v>41</v>
      </c>
      <c r="B32" s="98"/>
      <c r="C32" s="31"/>
      <c r="D32" s="103"/>
      <c r="E32" s="149">
        <f>(E2/3986515)*100</f>
        <v>8.961912848691151</v>
      </c>
      <c r="F32" s="149">
        <f t="shared" ref="F32:Z32" si="10">(F2/3986515)*100</f>
        <v>0.17190453315740689</v>
      </c>
      <c r="G32" s="149">
        <f t="shared" si="10"/>
        <v>8.9254148046602104</v>
      </c>
      <c r="H32" s="149">
        <f t="shared" si="10"/>
        <v>0.64918857699017818</v>
      </c>
      <c r="I32" s="149">
        <f t="shared" si="10"/>
        <v>0.70608037345902375</v>
      </c>
      <c r="J32" s="149">
        <f t="shared" si="10"/>
        <v>4.6346997314697171</v>
      </c>
      <c r="K32" s="149">
        <f t="shared" si="10"/>
        <v>18.054867471964862</v>
      </c>
      <c r="L32" s="149">
        <f t="shared" si="10"/>
        <v>5.2722741542424902</v>
      </c>
      <c r="M32" s="149">
        <f t="shared" si="10"/>
        <v>10.967825280978499</v>
      </c>
      <c r="N32" s="149">
        <f t="shared" si="10"/>
        <v>2.5850649000442742</v>
      </c>
      <c r="O32" s="149">
        <f t="shared" si="10"/>
        <v>1.9205245684513916</v>
      </c>
      <c r="P32" s="149">
        <f t="shared" si="10"/>
        <v>0.33706131796820027</v>
      </c>
      <c r="Q32" s="149">
        <f t="shared" si="10"/>
        <v>6.3826926526050949</v>
      </c>
      <c r="R32" s="149">
        <f t="shared" si="10"/>
        <v>3.1231790172619442</v>
      </c>
      <c r="S32" s="149">
        <f t="shared" si="10"/>
        <v>8.7310345000583212</v>
      </c>
      <c r="T32" s="149">
        <f t="shared" si="10"/>
        <v>7.427264164313943</v>
      </c>
      <c r="U32" s="149">
        <f t="shared" si="10"/>
        <v>6.8193396989601194</v>
      </c>
      <c r="V32" s="149">
        <f t="shared" si="10"/>
        <v>1.426132850371816</v>
      </c>
      <c r="W32" s="149">
        <f t="shared" si="10"/>
        <v>2.3399886868605786</v>
      </c>
      <c r="X32" s="149">
        <f t="shared" si="10"/>
        <v>0.52539624208111591</v>
      </c>
      <c r="Y32" s="149">
        <f t="shared" si="10"/>
        <v>3.8554978471170932E-2</v>
      </c>
      <c r="Z32" s="149">
        <f t="shared" si="10"/>
        <v>0</v>
      </c>
      <c r="AC32" s="158">
        <v>381529</v>
      </c>
    </row>
    <row r="33" spans="1:29" x14ac:dyDescent="0.25">
      <c r="A33" t="s">
        <v>437</v>
      </c>
      <c r="B33" s="98"/>
      <c r="C33" s="31"/>
      <c r="D33" s="103"/>
      <c r="E33" s="149">
        <f>(E3/18009)*100</f>
        <v>9.7173635404519967</v>
      </c>
      <c r="F33" s="149">
        <f t="shared" ref="F33:Z33" si="11">(F3/18009)*100</f>
        <v>6.6633349991670837E-2</v>
      </c>
      <c r="G33" s="149">
        <f t="shared" si="11"/>
        <v>4.6809928369148759</v>
      </c>
      <c r="H33" s="149">
        <f t="shared" si="11"/>
        <v>0.67188627908268084</v>
      </c>
      <c r="I33" s="149">
        <f t="shared" si="11"/>
        <v>0.96063079571325449</v>
      </c>
      <c r="J33" s="149">
        <f t="shared" si="11"/>
        <v>5.9248153700927313</v>
      </c>
      <c r="K33" s="149">
        <f t="shared" si="11"/>
        <v>15.481148314731524</v>
      </c>
      <c r="L33" s="149">
        <f t="shared" si="11"/>
        <v>8.440224332278305</v>
      </c>
      <c r="M33" s="149">
        <f t="shared" si="11"/>
        <v>9.9505802654228432</v>
      </c>
      <c r="N33" s="149">
        <f t="shared" si="11"/>
        <v>0.88289188738963853</v>
      </c>
      <c r="O33" s="149">
        <f t="shared" si="11"/>
        <v>1.316008662335499</v>
      </c>
      <c r="P33" s="149">
        <f t="shared" si="11"/>
        <v>0.1610305958132045</v>
      </c>
      <c r="Q33" s="149">
        <f t="shared" si="11"/>
        <v>4.8420234327280802</v>
      </c>
      <c r="R33" s="149">
        <f t="shared" si="11"/>
        <v>1.5714365039702372</v>
      </c>
      <c r="S33" s="149">
        <f t="shared" si="11"/>
        <v>16.586151368760063</v>
      </c>
      <c r="T33" s="149">
        <f t="shared" si="11"/>
        <v>8.8067077572324948</v>
      </c>
      <c r="U33" s="149">
        <f t="shared" si="11"/>
        <v>6.4245654950302624</v>
      </c>
      <c r="V33" s="149">
        <f t="shared" si="11"/>
        <v>1.0217113665389528</v>
      </c>
      <c r="W33" s="149">
        <f t="shared" si="11"/>
        <v>2.0822921872397133</v>
      </c>
      <c r="X33" s="149">
        <f t="shared" si="11"/>
        <v>0.42756399577988785</v>
      </c>
      <c r="Y33" s="149">
        <f t="shared" si="11"/>
        <v>2.7763895829862845E-2</v>
      </c>
      <c r="Z33" s="149">
        <f t="shared" si="11"/>
        <v>0</v>
      </c>
      <c r="AC33" s="158">
        <v>31162</v>
      </c>
    </row>
    <row r="34" spans="1:29" x14ac:dyDescent="0.25">
      <c r="A34" t="s">
        <v>36</v>
      </c>
      <c r="B34" s="98"/>
      <c r="C34" s="31"/>
      <c r="D34" s="103"/>
      <c r="E34" s="149">
        <f>(E4/17668)*100</f>
        <v>9.6558750282997519</v>
      </c>
      <c r="F34" s="149">
        <f t="shared" ref="F34:Z34" si="12">(F24/20366)*100</f>
        <v>5.8921732298929587E-2</v>
      </c>
      <c r="G34" s="149">
        <f t="shared" si="12"/>
        <v>4.4927820877933806</v>
      </c>
      <c r="H34" s="149">
        <f t="shared" si="12"/>
        <v>0.667779632721202</v>
      </c>
      <c r="I34" s="149">
        <f t="shared" si="12"/>
        <v>1.1538839241873711</v>
      </c>
      <c r="J34" s="149">
        <f t="shared" si="12"/>
        <v>5.9560051065501325</v>
      </c>
      <c r="K34" s="149">
        <f t="shared" si="12"/>
        <v>15.020131591868802</v>
      </c>
      <c r="L34" s="149">
        <f t="shared" si="12"/>
        <v>8.2539526662083862</v>
      </c>
      <c r="M34" s="149">
        <f t="shared" si="12"/>
        <v>10.542079937150152</v>
      </c>
      <c r="N34" s="149">
        <f t="shared" si="12"/>
        <v>0.92801728370814107</v>
      </c>
      <c r="O34" s="149">
        <f t="shared" si="12"/>
        <v>1.1735245016203477</v>
      </c>
      <c r="P34" s="149">
        <f t="shared" si="12"/>
        <v>0.1669449081803005</v>
      </c>
      <c r="Q34" s="149">
        <f t="shared" si="12"/>
        <v>4.5467936757340661</v>
      </c>
      <c r="R34" s="149">
        <f t="shared" si="12"/>
        <v>1.6399882156535404</v>
      </c>
      <c r="S34" s="149">
        <f t="shared" si="12"/>
        <v>15.241088087989787</v>
      </c>
      <c r="T34" s="149">
        <f t="shared" si="12"/>
        <v>8.3423352646567803</v>
      </c>
      <c r="U34" s="149">
        <f t="shared" si="12"/>
        <v>6.098399292939213</v>
      </c>
      <c r="V34" s="149">
        <f t="shared" si="12"/>
        <v>1.114602769321418</v>
      </c>
      <c r="W34" s="149">
        <f t="shared" si="12"/>
        <v>2.0819012078955121</v>
      </c>
      <c r="X34" s="149">
        <f t="shared" si="12"/>
        <v>0.47628400274968086</v>
      </c>
      <c r="Y34" s="149">
        <f t="shared" si="12"/>
        <v>4.4191299224197192E-2</v>
      </c>
      <c r="Z34" s="149">
        <f t="shared" si="12"/>
        <v>3.0835706569773151</v>
      </c>
      <c r="AC34" s="158">
        <v>17841</v>
      </c>
    </row>
    <row r="35" spans="1:29" x14ac:dyDescent="0.25">
      <c r="A35" t="s">
        <v>436</v>
      </c>
      <c r="B35" s="98"/>
      <c r="C35" s="31"/>
      <c r="D35" s="103"/>
      <c r="E35" s="149">
        <f>(E25/240)*100</f>
        <v>10.416666666666668</v>
      </c>
      <c r="F35" s="149">
        <f t="shared" ref="F35:Z35" si="13">(F25/240)*100</f>
        <v>0</v>
      </c>
      <c r="G35" s="149">
        <f t="shared" si="13"/>
        <v>2.5</v>
      </c>
      <c r="H35" s="149">
        <f t="shared" si="13"/>
        <v>1.6666666666666667</v>
      </c>
      <c r="I35" s="149">
        <f t="shared" si="13"/>
        <v>2.5</v>
      </c>
      <c r="J35" s="149">
        <f t="shared" si="13"/>
        <v>7.5</v>
      </c>
      <c r="K35" s="149">
        <f t="shared" si="13"/>
        <v>8.3333333333333321</v>
      </c>
      <c r="L35" s="149">
        <f t="shared" si="13"/>
        <v>24.583333333333332</v>
      </c>
      <c r="M35" s="149">
        <f t="shared" si="13"/>
        <v>6.666666666666667</v>
      </c>
      <c r="N35" s="149">
        <f t="shared" si="13"/>
        <v>1.25</v>
      </c>
      <c r="O35" s="149">
        <f t="shared" si="13"/>
        <v>2.083333333333333</v>
      </c>
      <c r="P35" s="149">
        <f t="shared" si="13"/>
        <v>0</v>
      </c>
      <c r="Q35" s="149">
        <f t="shared" si="13"/>
        <v>4.583333333333333</v>
      </c>
      <c r="R35" s="149">
        <f t="shared" si="13"/>
        <v>1.25</v>
      </c>
      <c r="S35" s="149">
        <f t="shared" si="13"/>
        <v>13.750000000000002</v>
      </c>
      <c r="T35" s="149">
        <f t="shared" si="13"/>
        <v>3.3333333333333335</v>
      </c>
      <c r="U35" s="149">
        <f t="shared" si="13"/>
        <v>2.5</v>
      </c>
      <c r="V35" s="149">
        <f t="shared" si="13"/>
        <v>0</v>
      </c>
      <c r="W35" s="149">
        <f t="shared" si="13"/>
        <v>7.083333333333333</v>
      </c>
      <c r="X35" s="149">
        <f t="shared" si="13"/>
        <v>2.083333333333333</v>
      </c>
      <c r="Y35" s="149">
        <f t="shared" si="13"/>
        <v>0</v>
      </c>
      <c r="Z35" s="149">
        <f t="shared" si="13"/>
        <v>2.083333333333333</v>
      </c>
      <c r="AC35" s="158">
        <v>171400</v>
      </c>
    </row>
    <row r="36" spans="1:29" x14ac:dyDescent="0.25">
      <c r="A36" t="s">
        <v>174</v>
      </c>
      <c r="B36" s="98"/>
      <c r="C36" s="31"/>
      <c r="D36" s="103"/>
      <c r="E36" s="149">
        <f>(E6/119)*100</f>
        <v>15.966386554621847</v>
      </c>
      <c r="F36" s="149">
        <f t="shared" ref="F36:Z36" si="14">(F6/119)*100</f>
        <v>0</v>
      </c>
      <c r="G36" s="149">
        <f t="shared" si="14"/>
        <v>2.5210084033613445</v>
      </c>
      <c r="H36" s="149">
        <f t="shared" si="14"/>
        <v>2.5210084033613445</v>
      </c>
      <c r="I36" s="149">
        <f t="shared" si="14"/>
        <v>2.5210084033613445</v>
      </c>
      <c r="J36" s="149">
        <f t="shared" si="14"/>
        <v>4.2016806722689077</v>
      </c>
      <c r="K36" s="149">
        <f t="shared" si="14"/>
        <v>4.2016806722689077</v>
      </c>
      <c r="L36" s="149">
        <f t="shared" si="14"/>
        <v>26.05042016806723</v>
      </c>
      <c r="M36" s="149">
        <f t="shared" si="14"/>
        <v>9.2436974789915975</v>
      </c>
      <c r="N36" s="149">
        <f t="shared" si="14"/>
        <v>0</v>
      </c>
      <c r="O36" s="149">
        <f t="shared" si="14"/>
        <v>0</v>
      </c>
      <c r="P36" s="149">
        <f t="shared" si="14"/>
        <v>0</v>
      </c>
      <c r="Q36" s="149">
        <f t="shared" si="14"/>
        <v>3.3613445378151261</v>
      </c>
      <c r="R36" s="149">
        <f t="shared" si="14"/>
        <v>0</v>
      </c>
      <c r="S36" s="149">
        <f t="shared" si="14"/>
        <v>21.008403361344538</v>
      </c>
      <c r="T36" s="149">
        <f t="shared" si="14"/>
        <v>5.0420168067226889</v>
      </c>
      <c r="U36" s="149">
        <f t="shared" si="14"/>
        <v>5.0420168067226889</v>
      </c>
      <c r="V36" s="149">
        <f t="shared" si="14"/>
        <v>0</v>
      </c>
      <c r="W36" s="149">
        <f t="shared" si="14"/>
        <v>2.5210084033613445</v>
      </c>
      <c r="X36" s="149">
        <f t="shared" si="14"/>
        <v>0</v>
      </c>
      <c r="Y36" s="149">
        <f t="shared" si="14"/>
        <v>0</v>
      </c>
      <c r="Z36" s="149">
        <f t="shared" si="14"/>
        <v>0</v>
      </c>
      <c r="AC36" s="158">
        <v>823788</v>
      </c>
    </row>
    <row r="37" spans="1:29" x14ac:dyDescent="0.25">
      <c r="B37" s="98"/>
      <c r="C37" s="31"/>
      <c r="D37" s="103"/>
      <c r="E37" s="103"/>
      <c r="F37" s="103"/>
      <c r="G37" s="103"/>
      <c r="H37" s="103"/>
      <c r="I37" s="103"/>
      <c r="J37" s="103"/>
      <c r="K37" s="103"/>
      <c r="L37" s="103"/>
      <c r="M37" s="103"/>
      <c r="N37" s="103"/>
      <c r="O37" s="103"/>
      <c r="P37" s="103"/>
      <c r="Q37" s="103"/>
      <c r="R37" s="103"/>
      <c r="S37" s="103"/>
      <c r="T37" s="103"/>
      <c r="U37" s="103"/>
      <c r="V37" s="103"/>
      <c r="W37" s="103"/>
      <c r="X37" s="103"/>
      <c r="Y37" s="103"/>
      <c r="Z37" s="103"/>
      <c r="AC37" s="158">
        <v>192842</v>
      </c>
    </row>
    <row r="38" spans="1:29" x14ac:dyDescent="0.25">
      <c r="A38" t="s">
        <v>438</v>
      </c>
      <c r="B38" s="98"/>
      <c r="C38" s="31"/>
      <c r="D38" s="103"/>
      <c r="E38" s="149">
        <f>(E8/232)*100</f>
        <v>4.3103448275862073</v>
      </c>
      <c r="F38" s="149">
        <f t="shared" ref="F38:Z38" si="15">(F8/232)*100</f>
        <v>0</v>
      </c>
      <c r="G38" s="149">
        <f t="shared" si="15"/>
        <v>3.4482758620689653</v>
      </c>
      <c r="H38" s="149">
        <f t="shared" si="15"/>
        <v>1.2931034482758621</v>
      </c>
      <c r="I38" s="149">
        <f t="shared" si="15"/>
        <v>3.4482758620689653</v>
      </c>
      <c r="J38" s="149">
        <f t="shared" si="15"/>
        <v>6.0344827586206895</v>
      </c>
      <c r="K38" s="149">
        <f t="shared" si="15"/>
        <v>9.4827586206896548</v>
      </c>
      <c r="L38" s="149">
        <f t="shared" si="15"/>
        <v>4.7413793103448274</v>
      </c>
      <c r="M38" s="149">
        <f t="shared" si="15"/>
        <v>18.103448275862068</v>
      </c>
      <c r="N38" s="149">
        <f t="shared" si="15"/>
        <v>0</v>
      </c>
      <c r="O38" s="149">
        <f t="shared" si="15"/>
        <v>2.5862068965517242</v>
      </c>
      <c r="P38" s="149">
        <f t="shared" si="15"/>
        <v>0</v>
      </c>
      <c r="Q38" s="149">
        <f t="shared" si="15"/>
        <v>1.2931034482758621</v>
      </c>
      <c r="R38" s="149">
        <f t="shared" si="15"/>
        <v>1.7241379310344827</v>
      </c>
      <c r="S38" s="149">
        <f t="shared" si="15"/>
        <v>37.931034482758619</v>
      </c>
      <c r="T38" s="149">
        <f t="shared" si="15"/>
        <v>2.5862068965517242</v>
      </c>
      <c r="U38" s="149">
        <f t="shared" si="15"/>
        <v>3.0172413793103448</v>
      </c>
      <c r="V38" s="149">
        <f t="shared" si="15"/>
        <v>1.2931034482758621</v>
      </c>
      <c r="W38" s="149">
        <f t="shared" si="15"/>
        <v>1.2931034482758621</v>
      </c>
      <c r="X38" s="149">
        <f t="shared" si="15"/>
        <v>1.2931034482758621</v>
      </c>
      <c r="Y38" s="149">
        <f t="shared" si="15"/>
        <v>0</v>
      </c>
      <c r="Z38" s="149">
        <f t="shared" si="15"/>
        <v>0</v>
      </c>
      <c r="AC38" s="158">
        <v>707864</v>
      </c>
    </row>
    <row r="39" spans="1:29" x14ac:dyDescent="0.25">
      <c r="A39" t="s">
        <v>439</v>
      </c>
      <c r="E39" s="31">
        <f>(E9/56578)*100</f>
        <v>2.2358513910000353</v>
      </c>
      <c r="F39" s="31">
        <f t="shared" ref="F39:Z39" si="16">(F9/56578)*100</f>
        <v>8.6606101311463818E-2</v>
      </c>
      <c r="G39" s="31">
        <f t="shared" si="16"/>
        <v>3.543780267948673</v>
      </c>
      <c r="H39" s="31">
        <f t="shared" si="16"/>
        <v>0.64335960974230266</v>
      </c>
      <c r="I39" s="31">
        <f t="shared" si="16"/>
        <v>0.82540916964191025</v>
      </c>
      <c r="J39" s="31">
        <f t="shared" si="16"/>
        <v>4.6661246420870297</v>
      </c>
      <c r="K39" s="31">
        <f t="shared" si="16"/>
        <v>16.508183392838205</v>
      </c>
      <c r="L39" s="31">
        <f t="shared" si="16"/>
        <v>4.317932765385839</v>
      </c>
      <c r="M39" s="31">
        <f t="shared" si="16"/>
        <v>35.135565060624266</v>
      </c>
      <c r="N39" s="31">
        <f t="shared" si="16"/>
        <v>0.81480434090989429</v>
      </c>
      <c r="O39" s="31">
        <f t="shared" si="16"/>
        <v>0.77238502598183045</v>
      </c>
      <c r="P39" s="31">
        <f t="shared" si="16"/>
        <v>0.15200254515889569</v>
      </c>
      <c r="Q39" s="31">
        <f t="shared" si="16"/>
        <v>4.0439746898087598</v>
      </c>
      <c r="R39" s="31">
        <f t="shared" si="16"/>
        <v>3.8902046731945279</v>
      </c>
      <c r="S39" s="31">
        <f t="shared" si="16"/>
        <v>8.4626533281487504</v>
      </c>
      <c r="T39" s="31">
        <f t="shared" si="16"/>
        <v>5.9581462759376436</v>
      </c>
      <c r="U39" s="31">
        <f t="shared" si="16"/>
        <v>3.8972745590158717</v>
      </c>
      <c r="V39" s="31">
        <f t="shared" si="16"/>
        <v>1.5483049948743328</v>
      </c>
      <c r="W39" s="31">
        <f t="shared" si="16"/>
        <v>2.0290572307257237</v>
      </c>
      <c r="X39" s="31">
        <f t="shared" si="16"/>
        <v>0.45070522111067912</v>
      </c>
      <c r="Y39" s="31">
        <f t="shared" si="16"/>
        <v>5.3024143660079888E-3</v>
      </c>
      <c r="Z39" s="31">
        <f t="shared" si="16"/>
        <v>0</v>
      </c>
      <c r="AC39" s="158">
        <v>108953</v>
      </c>
    </row>
    <row r="40" spans="1:29" x14ac:dyDescent="0.25">
      <c r="AC40" s="158">
        <v>78201</v>
      </c>
    </row>
    <row r="41" spans="1:29" x14ac:dyDescent="0.25">
      <c r="AC41" s="158">
        <v>30357</v>
      </c>
    </row>
    <row r="42" spans="1:29" x14ac:dyDescent="0.25">
      <c r="A42" t="s">
        <v>506</v>
      </c>
      <c r="E42" s="106" t="s">
        <v>485</v>
      </c>
      <c r="F42" s="106" t="s">
        <v>486</v>
      </c>
      <c r="G42" s="106" t="s">
        <v>487</v>
      </c>
      <c r="H42" s="106" t="s">
        <v>488</v>
      </c>
      <c r="I42" s="106" t="s">
        <v>489</v>
      </c>
      <c r="J42" s="106" t="s">
        <v>490</v>
      </c>
      <c r="K42" s="106" t="s">
        <v>491</v>
      </c>
      <c r="L42" s="106" t="s">
        <v>492</v>
      </c>
      <c r="M42" s="106" t="s">
        <v>493</v>
      </c>
      <c r="N42" s="106" t="s">
        <v>494</v>
      </c>
      <c r="O42" s="106" t="s">
        <v>495</v>
      </c>
      <c r="P42" s="106" t="s">
        <v>496</v>
      </c>
      <c r="Q42" s="106" t="s">
        <v>497</v>
      </c>
      <c r="R42" s="106" t="s">
        <v>498</v>
      </c>
      <c r="S42" s="106" t="s">
        <v>499</v>
      </c>
      <c r="T42" s="106" t="s">
        <v>500</v>
      </c>
      <c r="U42" s="106" t="s">
        <v>501</v>
      </c>
      <c r="V42" s="106" t="s">
        <v>502</v>
      </c>
      <c r="W42" s="106" t="s">
        <v>503</v>
      </c>
      <c r="X42" s="106" t="s">
        <v>504</v>
      </c>
      <c r="AC42" s="158">
        <v>296480</v>
      </c>
    </row>
    <row r="43" spans="1:29" s="150" customFormat="1" x14ac:dyDescent="0.2">
      <c r="A43" s="150" t="s">
        <v>41</v>
      </c>
      <c r="D43" s="163">
        <v>4621511</v>
      </c>
      <c r="E43" s="160">
        <v>290772</v>
      </c>
      <c r="F43" s="161">
        <v>6174</v>
      </c>
      <c r="G43" s="161">
        <v>381529</v>
      </c>
      <c r="H43" s="161">
        <v>31162</v>
      </c>
      <c r="I43" s="161">
        <v>17841</v>
      </c>
      <c r="J43" s="161">
        <v>171400</v>
      </c>
      <c r="K43" s="161">
        <v>823788</v>
      </c>
      <c r="L43" s="161">
        <v>192842</v>
      </c>
      <c r="M43" s="161">
        <v>707864</v>
      </c>
      <c r="N43" s="161">
        <v>108953</v>
      </c>
      <c r="O43" s="161">
        <v>78201</v>
      </c>
      <c r="P43" s="161">
        <v>30357</v>
      </c>
      <c r="Q43" s="161">
        <v>296480</v>
      </c>
      <c r="R43" s="161">
        <v>185565</v>
      </c>
      <c r="S43" s="161">
        <v>413756</v>
      </c>
      <c r="T43" s="161">
        <v>353902</v>
      </c>
      <c r="U43" s="161">
        <v>303416</v>
      </c>
      <c r="V43" s="161">
        <v>86606</v>
      </c>
      <c r="W43" s="161">
        <v>130748</v>
      </c>
      <c r="X43" s="162">
        <v>10155</v>
      </c>
      <c r="AC43" s="161">
        <v>185565</v>
      </c>
    </row>
    <row r="44" spans="1:29" x14ac:dyDescent="0.25">
      <c r="A44" t="s">
        <v>437</v>
      </c>
      <c r="D44">
        <v>15369</v>
      </c>
      <c r="E44" s="151">
        <v>1894</v>
      </c>
      <c r="F44" s="152" t="s">
        <v>505</v>
      </c>
      <c r="G44" s="151">
        <v>834</v>
      </c>
      <c r="H44" s="151">
        <v>66</v>
      </c>
      <c r="I44" s="151">
        <v>29</v>
      </c>
      <c r="J44" s="151">
        <v>706</v>
      </c>
      <c r="K44" s="151">
        <v>2685</v>
      </c>
      <c r="L44" s="151">
        <v>412</v>
      </c>
      <c r="M44" s="151">
        <v>2866</v>
      </c>
      <c r="N44" s="151">
        <v>135</v>
      </c>
      <c r="O44" s="151">
        <v>148</v>
      </c>
      <c r="P44" s="151">
        <v>72</v>
      </c>
      <c r="Q44" s="151">
        <v>841</v>
      </c>
      <c r="R44" s="151">
        <v>273</v>
      </c>
      <c r="S44" s="152" t="s">
        <v>505</v>
      </c>
      <c r="T44" s="151">
        <v>1637</v>
      </c>
      <c r="U44" s="151">
        <v>1114</v>
      </c>
      <c r="V44" s="151">
        <v>216</v>
      </c>
      <c r="W44" s="151">
        <v>488</v>
      </c>
      <c r="X44" s="151">
        <v>34</v>
      </c>
      <c r="AC44" s="158">
        <v>413756</v>
      </c>
    </row>
    <row r="45" spans="1:29" x14ac:dyDescent="0.25">
      <c r="A45" t="s">
        <v>436</v>
      </c>
      <c r="D45">
        <f>SUM(E45:X45)</f>
        <v>71</v>
      </c>
      <c r="E45" s="153">
        <v>7</v>
      </c>
      <c r="F45" s="153"/>
      <c r="G45" s="153">
        <v>2</v>
      </c>
      <c r="H45" s="153"/>
      <c r="I45" s="153"/>
      <c r="J45" s="153">
        <v>7</v>
      </c>
      <c r="K45" s="153">
        <v>8</v>
      </c>
      <c r="L45" s="153">
        <v>3</v>
      </c>
      <c r="M45" s="153">
        <v>10</v>
      </c>
      <c r="N45" s="153"/>
      <c r="O45" s="153"/>
      <c r="P45" s="153">
        <v>0</v>
      </c>
      <c r="Q45" s="153">
        <v>4</v>
      </c>
      <c r="R45" s="153">
        <v>1</v>
      </c>
      <c r="S45" s="153">
        <v>20</v>
      </c>
      <c r="T45" s="153">
        <v>2</v>
      </c>
      <c r="U45" s="154"/>
      <c r="V45" s="153">
        <v>2</v>
      </c>
      <c r="W45" s="153">
        <v>3</v>
      </c>
      <c r="X45" s="153">
        <v>2</v>
      </c>
      <c r="AC45" s="158">
        <v>353902</v>
      </c>
    </row>
    <row r="46" spans="1:29" x14ac:dyDescent="0.25">
      <c r="A46" t="s">
        <v>174</v>
      </c>
      <c r="D46">
        <f>SUM(E46:X46)</f>
        <v>58</v>
      </c>
      <c r="E46" s="153">
        <v>13</v>
      </c>
      <c r="F46" s="153"/>
      <c r="G46" s="153">
        <v>1</v>
      </c>
      <c r="H46" s="153"/>
      <c r="I46" s="153"/>
      <c r="J46" s="153">
        <v>3</v>
      </c>
      <c r="K46" s="153">
        <v>5</v>
      </c>
      <c r="L46" s="153">
        <v>1</v>
      </c>
      <c r="M46" s="153">
        <v>8</v>
      </c>
      <c r="N46" s="153"/>
      <c r="O46" s="153">
        <v>2</v>
      </c>
      <c r="P46" s="153"/>
      <c r="Q46" s="153"/>
      <c r="R46" s="153"/>
      <c r="S46" s="153">
        <v>20</v>
      </c>
      <c r="T46" s="153">
        <v>1</v>
      </c>
      <c r="U46" s="153">
        <v>1</v>
      </c>
      <c r="V46" s="153">
        <v>3</v>
      </c>
      <c r="W46" s="153"/>
      <c r="X46" s="155"/>
      <c r="AC46" s="158">
        <v>303416</v>
      </c>
    </row>
    <row r="47" spans="1:29" x14ac:dyDescent="0.25">
      <c r="E47" s="154"/>
      <c r="F47" s="154"/>
      <c r="G47" s="154"/>
      <c r="H47" s="154"/>
      <c r="I47" s="154"/>
      <c r="J47" s="154"/>
      <c r="K47" s="154"/>
      <c r="L47" s="154"/>
      <c r="M47" s="154"/>
      <c r="N47" s="154"/>
      <c r="O47" s="154"/>
      <c r="P47" s="154"/>
      <c r="Q47" s="154"/>
      <c r="R47" s="154"/>
      <c r="S47" s="154"/>
      <c r="T47" s="154"/>
      <c r="U47" s="154"/>
      <c r="V47" s="154"/>
      <c r="W47" s="154"/>
      <c r="X47" s="154"/>
      <c r="AC47" s="158">
        <v>86606</v>
      </c>
    </row>
    <row r="48" spans="1:29" x14ac:dyDescent="0.25">
      <c r="A48" t="s">
        <v>550</v>
      </c>
      <c r="D48">
        <f>SUM(E48:W48)</f>
        <v>159</v>
      </c>
      <c r="E48" s="153">
        <v>8</v>
      </c>
      <c r="F48" s="153"/>
      <c r="G48" s="153">
        <v>3</v>
      </c>
      <c r="H48" s="153"/>
      <c r="I48" s="153"/>
      <c r="J48" s="153">
        <v>14</v>
      </c>
      <c r="K48" s="153">
        <v>17</v>
      </c>
      <c r="L48" s="153">
        <v>5</v>
      </c>
      <c r="M48" s="153">
        <v>89</v>
      </c>
      <c r="N48" s="153"/>
      <c r="O48" s="153"/>
      <c r="P48" s="153"/>
      <c r="Q48" s="153">
        <v>1</v>
      </c>
      <c r="R48" s="153">
        <v>5</v>
      </c>
      <c r="S48" s="153">
        <v>16</v>
      </c>
      <c r="T48" s="153"/>
      <c r="U48" s="153"/>
      <c r="V48" s="153"/>
      <c r="W48" s="153">
        <v>1</v>
      </c>
      <c r="X48" s="154"/>
      <c r="AC48" s="158">
        <v>130748</v>
      </c>
    </row>
    <row r="49" spans="1:29" x14ac:dyDescent="0.25">
      <c r="A49" t="s">
        <v>439</v>
      </c>
      <c r="D49">
        <v>65548</v>
      </c>
      <c r="E49" s="151">
        <v>591</v>
      </c>
      <c r="F49" s="152" t="s">
        <v>505</v>
      </c>
      <c r="G49" s="151">
        <v>1921</v>
      </c>
      <c r="H49" s="151">
        <v>119</v>
      </c>
      <c r="I49" s="151">
        <v>251</v>
      </c>
      <c r="J49" s="151">
        <v>3186</v>
      </c>
      <c r="K49" s="151">
        <v>9829</v>
      </c>
      <c r="L49" s="151">
        <v>1756</v>
      </c>
      <c r="M49" s="151">
        <v>28999</v>
      </c>
      <c r="N49" s="151">
        <v>462</v>
      </c>
      <c r="O49" s="151">
        <v>257</v>
      </c>
      <c r="P49" s="151">
        <v>666</v>
      </c>
      <c r="Q49" s="151">
        <v>2532</v>
      </c>
      <c r="R49" s="151">
        <v>2247</v>
      </c>
      <c r="S49" s="152" t="s">
        <v>505</v>
      </c>
      <c r="T49" s="151">
        <v>5617</v>
      </c>
      <c r="U49" s="151">
        <v>2285</v>
      </c>
      <c r="V49" s="151">
        <v>1565</v>
      </c>
      <c r="W49" s="151">
        <v>1541</v>
      </c>
      <c r="X49" s="151">
        <v>18</v>
      </c>
      <c r="AC49" s="159">
        <v>10155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5AF705-DB97-441F-B82E-7208641E5302}">
  <dimension ref="A1:AZ146"/>
  <sheetViews>
    <sheetView topLeftCell="A13" zoomScale="96" zoomScaleNormal="96" workbookViewId="0">
      <selection activeCell="D26" sqref="D26"/>
    </sheetView>
  </sheetViews>
  <sheetFormatPr defaultColWidth="9" defaultRowHeight="12" x14ac:dyDescent="0.2"/>
  <cols>
    <col min="1" max="1" width="8.28515625" style="37" customWidth="1"/>
    <col min="2" max="2" width="18.7109375" style="37" customWidth="1"/>
    <col min="3" max="3" width="9.140625" style="37" bestFit="1" customWidth="1"/>
    <col min="4" max="4" width="14.140625" style="37" customWidth="1"/>
    <col min="5" max="5" width="14" style="37" customWidth="1"/>
    <col min="6" max="6" width="9.85546875" style="37" customWidth="1"/>
    <col min="7" max="7" width="12.85546875" style="37" customWidth="1"/>
    <col min="8" max="8" width="9.7109375" style="37" customWidth="1"/>
    <col min="9" max="9" width="8.42578125" style="37" customWidth="1"/>
    <col min="10" max="10" width="9.7109375" style="37" customWidth="1"/>
    <col min="11" max="13" width="9.140625" style="37" bestFit="1" customWidth="1"/>
    <col min="14" max="14" width="10.140625" style="37" customWidth="1"/>
    <col min="15" max="15" width="12" style="37" bestFit="1" customWidth="1"/>
    <col min="16" max="16" width="9.28515625" style="37" bestFit="1" customWidth="1"/>
    <col min="17" max="18" width="9" style="37"/>
    <col min="19" max="21" width="9.140625" style="37" bestFit="1" customWidth="1"/>
    <col min="22" max="22" width="9" style="37"/>
    <col min="23" max="23" width="9.140625" style="37" bestFit="1" customWidth="1"/>
    <col min="24" max="24" width="9.28515625" style="37" bestFit="1" customWidth="1"/>
    <col min="25" max="25" width="9" style="37"/>
    <col min="26" max="26" width="9.140625" style="37" bestFit="1" customWidth="1"/>
    <col min="27" max="27" width="9.5703125" style="37" bestFit="1" customWidth="1"/>
    <col min="28" max="30" width="9.140625" style="37" bestFit="1" customWidth="1"/>
    <col min="31" max="31" width="9.5703125" style="37" bestFit="1" customWidth="1"/>
    <col min="32" max="32" width="9.140625" style="37" bestFit="1" customWidth="1"/>
    <col min="33" max="33" width="11.28515625" style="37" bestFit="1" customWidth="1"/>
    <col min="34" max="36" width="9.140625" style="37" bestFit="1" customWidth="1"/>
    <col min="37" max="37" width="9" style="37"/>
    <col min="38" max="40" width="9.140625" style="37" bestFit="1" customWidth="1"/>
    <col min="41" max="41" width="9" style="37"/>
    <col min="42" max="42" width="9.140625" style="37" bestFit="1" customWidth="1"/>
    <col min="43" max="43" width="9.5703125" style="37" bestFit="1" customWidth="1"/>
    <col min="44" max="44" width="9.140625" style="37" bestFit="1" customWidth="1"/>
    <col min="45" max="45" width="9" style="37"/>
    <col min="46" max="48" width="9.140625" style="37" bestFit="1" customWidth="1"/>
    <col min="49" max="49" width="9" style="37"/>
    <col min="50" max="52" width="9.140625" style="37" bestFit="1" customWidth="1"/>
    <col min="53" max="16384" width="9" style="37"/>
  </cols>
  <sheetData>
    <row r="1" spans="1:52" x14ac:dyDescent="0.2">
      <c r="C1" s="37" t="s">
        <v>527</v>
      </c>
      <c r="K1" s="37" t="s">
        <v>528</v>
      </c>
      <c r="S1" s="37" t="s">
        <v>529</v>
      </c>
      <c r="Z1" s="37" t="s">
        <v>530</v>
      </c>
      <c r="AD1" s="37" t="s">
        <v>531</v>
      </c>
      <c r="AH1" s="37" t="s">
        <v>532</v>
      </c>
      <c r="AL1" s="37" t="s">
        <v>533</v>
      </c>
      <c r="AP1" s="37" t="s">
        <v>534</v>
      </c>
      <c r="AT1" s="37" t="s">
        <v>535</v>
      </c>
      <c r="AX1" s="37" t="s">
        <v>536</v>
      </c>
    </row>
    <row r="2" spans="1:52" x14ac:dyDescent="0.2">
      <c r="A2" s="165" t="s">
        <v>485</v>
      </c>
      <c r="B2" s="166" t="s">
        <v>507</v>
      </c>
      <c r="C2" s="167">
        <v>867</v>
      </c>
      <c r="D2" s="168">
        <v>8870840</v>
      </c>
      <c r="E2" s="167">
        <v>755</v>
      </c>
      <c r="F2" s="167"/>
      <c r="G2" s="167"/>
      <c r="H2" s="167"/>
      <c r="I2" s="167"/>
      <c r="J2" s="165" t="s">
        <v>485</v>
      </c>
      <c r="K2" s="167">
        <v>86</v>
      </c>
      <c r="L2" s="168">
        <v>629129</v>
      </c>
      <c r="M2" s="167">
        <v>62</v>
      </c>
      <c r="N2" s="167"/>
      <c r="O2" s="167"/>
      <c r="P2" s="167"/>
      <c r="Q2" s="167"/>
      <c r="R2" s="165" t="s">
        <v>485</v>
      </c>
      <c r="S2" s="167">
        <v>56</v>
      </c>
      <c r="T2" s="168">
        <v>304171</v>
      </c>
      <c r="U2" s="167">
        <v>32</v>
      </c>
      <c r="V2" s="167"/>
      <c r="W2" s="167"/>
      <c r="X2" s="165" t="s">
        <v>485</v>
      </c>
      <c r="Y2" s="165"/>
      <c r="Z2" s="167">
        <v>399</v>
      </c>
      <c r="AA2" s="168">
        <v>3332994</v>
      </c>
      <c r="AB2" s="167">
        <v>385</v>
      </c>
      <c r="AC2" s="165" t="s">
        <v>485</v>
      </c>
      <c r="AD2" s="167">
        <v>143</v>
      </c>
      <c r="AE2" s="168">
        <v>1871848</v>
      </c>
      <c r="AF2" s="167">
        <v>110</v>
      </c>
      <c r="AG2" s="165" t="s">
        <v>485</v>
      </c>
      <c r="AH2" s="167">
        <v>94</v>
      </c>
      <c r="AI2" s="168">
        <v>437727</v>
      </c>
      <c r="AJ2" s="167">
        <v>50</v>
      </c>
      <c r="AK2" s="165" t="s">
        <v>485</v>
      </c>
      <c r="AL2" s="167">
        <v>619</v>
      </c>
      <c r="AM2" s="168">
        <v>6649470</v>
      </c>
      <c r="AN2" s="167">
        <v>622</v>
      </c>
      <c r="AO2" s="165" t="s">
        <v>485</v>
      </c>
      <c r="AP2" s="167">
        <v>126</v>
      </c>
      <c r="AQ2" s="168">
        <v>21627285</v>
      </c>
      <c r="AR2" s="167">
        <v>240</v>
      </c>
      <c r="AS2" s="165" t="s">
        <v>485</v>
      </c>
      <c r="AT2" s="167">
        <v>15</v>
      </c>
      <c r="AU2" s="168">
        <v>276546</v>
      </c>
      <c r="AV2" s="167">
        <v>7</v>
      </c>
      <c r="AW2" s="165" t="s">
        <v>485</v>
      </c>
      <c r="AX2" s="167">
        <v>19</v>
      </c>
      <c r="AY2" s="168">
        <v>87115</v>
      </c>
      <c r="AZ2" s="167">
        <v>13</v>
      </c>
    </row>
    <row r="3" spans="1:52" x14ac:dyDescent="0.2">
      <c r="A3" s="165" t="s">
        <v>486</v>
      </c>
      <c r="B3" s="166" t="s">
        <v>508</v>
      </c>
      <c r="C3" s="167">
        <v>1</v>
      </c>
      <c r="D3" s="167">
        <v>0</v>
      </c>
      <c r="E3" s="167">
        <v>0</v>
      </c>
      <c r="F3" s="167"/>
      <c r="G3" s="167"/>
      <c r="H3" s="167"/>
      <c r="I3" s="167"/>
      <c r="J3" s="165" t="s">
        <v>487</v>
      </c>
      <c r="K3" s="167">
        <v>25</v>
      </c>
      <c r="L3" s="168">
        <v>4111926</v>
      </c>
      <c r="M3" s="167">
        <v>67</v>
      </c>
      <c r="N3" s="167"/>
      <c r="O3" s="167"/>
      <c r="P3" s="167"/>
      <c r="Q3" s="167"/>
      <c r="R3" s="165" t="s">
        <v>487</v>
      </c>
      <c r="S3" s="167">
        <v>6</v>
      </c>
      <c r="T3" s="168">
        <v>229723</v>
      </c>
      <c r="U3" s="167">
        <v>8</v>
      </c>
      <c r="V3" s="167"/>
      <c r="W3" s="167"/>
      <c r="X3" s="165" t="s">
        <v>487</v>
      </c>
      <c r="Y3" s="165"/>
      <c r="Z3" s="167">
        <v>14</v>
      </c>
      <c r="AA3" s="168">
        <v>1059342</v>
      </c>
      <c r="AB3" s="167">
        <v>32</v>
      </c>
      <c r="AC3" s="165" t="s">
        <v>487</v>
      </c>
      <c r="AD3" s="167">
        <v>27</v>
      </c>
      <c r="AE3" s="168">
        <v>9048997</v>
      </c>
      <c r="AF3" s="167">
        <v>110</v>
      </c>
      <c r="AG3" s="165" t="s">
        <v>487</v>
      </c>
      <c r="AH3" s="167">
        <v>8</v>
      </c>
      <c r="AI3" s="168">
        <v>4878763</v>
      </c>
      <c r="AJ3" s="167">
        <v>39</v>
      </c>
      <c r="AK3" s="165" t="s">
        <v>486</v>
      </c>
      <c r="AL3" s="167">
        <v>1</v>
      </c>
      <c r="AM3" s="168">
        <v>752903</v>
      </c>
      <c r="AN3" s="167">
        <v>12</v>
      </c>
      <c r="AO3" s="165" t="s">
        <v>487</v>
      </c>
      <c r="AP3" s="167">
        <v>30</v>
      </c>
      <c r="AQ3" s="168">
        <v>1709720</v>
      </c>
      <c r="AR3" s="167">
        <v>45</v>
      </c>
      <c r="AS3" s="165" t="s">
        <v>487</v>
      </c>
      <c r="AT3" s="167">
        <v>2</v>
      </c>
      <c r="AU3" s="168">
        <v>58988</v>
      </c>
      <c r="AV3" s="167">
        <v>2</v>
      </c>
      <c r="AW3" s="165" t="s">
        <v>487</v>
      </c>
      <c r="AX3" s="167">
        <v>1</v>
      </c>
      <c r="AY3" s="168">
        <v>21178</v>
      </c>
      <c r="AZ3" s="167">
        <v>1</v>
      </c>
    </row>
    <row r="4" spans="1:52" x14ac:dyDescent="0.2">
      <c r="A4" s="165" t="s">
        <v>487</v>
      </c>
      <c r="B4" s="166" t="s">
        <v>509</v>
      </c>
      <c r="C4" s="167">
        <v>141</v>
      </c>
      <c r="D4" s="168">
        <v>40602965</v>
      </c>
      <c r="E4" s="167">
        <v>488</v>
      </c>
      <c r="F4" s="167"/>
      <c r="G4" s="167"/>
      <c r="H4" s="167"/>
      <c r="I4" s="167"/>
      <c r="J4" s="165" t="s">
        <v>488</v>
      </c>
      <c r="K4" s="167">
        <v>2</v>
      </c>
      <c r="L4" s="168">
        <v>34074</v>
      </c>
      <c r="M4" s="167">
        <v>2</v>
      </c>
      <c r="N4" s="167"/>
      <c r="O4" s="167"/>
      <c r="P4" s="167"/>
      <c r="Q4" s="167"/>
      <c r="R4" s="165" t="s">
        <v>488</v>
      </c>
      <c r="S4" s="167">
        <v>2</v>
      </c>
      <c r="T4" s="168">
        <v>93974</v>
      </c>
      <c r="U4" s="167">
        <v>4</v>
      </c>
      <c r="V4" s="167"/>
      <c r="W4" s="167"/>
      <c r="X4" s="165" t="s">
        <v>490</v>
      </c>
      <c r="Y4" s="165"/>
      <c r="Z4" s="167">
        <v>32</v>
      </c>
      <c r="AA4" s="168">
        <v>600234</v>
      </c>
      <c r="AB4" s="167">
        <v>40</v>
      </c>
      <c r="AC4" s="165" t="s">
        <v>488</v>
      </c>
      <c r="AD4" s="167">
        <v>6</v>
      </c>
      <c r="AE4" s="168">
        <v>582022</v>
      </c>
      <c r="AF4" s="167">
        <v>19</v>
      </c>
      <c r="AG4" s="165" t="s">
        <v>488</v>
      </c>
      <c r="AH4" s="167">
        <v>3</v>
      </c>
      <c r="AI4" s="168">
        <v>234650</v>
      </c>
      <c r="AJ4" s="167">
        <v>4</v>
      </c>
      <c r="AK4" s="165" t="s">
        <v>487</v>
      </c>
      <c r="AL4" s="167">
        <v>25</v>
      </c>
      <c r="AM4" s="168">
        <v>843913</v>
      </c>
      <c r="AN4" s="167">
        <v>37</v>
      </c>
      <c r="AO4" s="165" t="s">
        <v>488</v>
      </c>
      <c r="AP4" s="167">
        <v>2</v>
      </c>
      <c r="AQ4" s="168">
        <v>186456</v>
      </c>
      <c r="AR4" s="167">
        <v>3</v>
      </c>
      <c r="AS4" s="165" t="s">
        <v>490</v>
      </c>
      <c r="AT4" s="167">
        <v>5</v>
      </c>
      <c r="AU4" s="168">
        <v>351110</v>
      </c>
      <c r="AV4" s="167">
        <v>7</v>
      </c>
      <c r="AW4" s="165" t="s">
        <v>490</v>
      </c>
      <c r="AX4" s="167">
        <v>2</v>
      </c>
      <c r="AY4" s="168">
        <v>21205</v>
      </c>
      <c r="AZ4" s="167">
        <v>3</v>
      </c>
    </row>
    <row r="5" spans="1:52" x14ac:dyDescent="0.2">
      <c r="A5" s="165" t="s">
        <v>488</v>
      </c>
      <c r="B5" s="166" t="s">
        <v>510</v>
      </c>
      <c r="C5" s="167">
        <v>11</v>
      </c>
      <c r="D5" s="168">
        <v>1047361</v>
      </c>
      <c r="E5" s="167">
        <v>17</v>
      </c>
      <c r="F5" s="167"/>
      <c r="G5" s="167"/>
      <c r="H5" s="167"/>
      <c r="I5" s="167"/>
      <c r="J5" s="165" t="s">
        <v>490</v>
      </c>
      <c r="K5" s="167">
        <v>24</v>
      </c>
      <c r="L5" s="168">
        <v>389178</v>
      </c>
      <c r="M5" s="167">
        <v>25</v>
      </c>
      <c r="N5" s="167"/>
      <c r="O5" s="167"/>
      <c r="P5" s="167"/>
      <c r="Q5" s="167"/>
      <c r="R5" s="165" t="s">
        <v>490</v>
      </c>
      <c r="S5" s="167">
        <v>19</v>
      </c>
      <c r="T5" s="168">
        <v>179617</v>
      </c>
      <c r="U5" s="167">
        <v>17</v>
      </c>
      <c r="V5" s="167"/>
      <c r="W5" s="167"/>
      <c r="X5" s="165" t="s">
        <v>491</v>
      </c>
      <c r="Y5" s="165"/>
      <c r="Z5" s="167">
        <v>53</v>
      </c>
      <c r="AA5" s="168">
        <v>13957918</v>
      </c>
      <c r="AB5" s="167">
        <v>137</v>
      </c>
      <c r="AC5" s="165" t="s">
        <v>489</v>
      </c>
      <c r="AD5" s="167">
        <v>2</v>
      </c>
      <c r="AE5" s="168">
        <v>21363</v>
      </c>
      <c r="AF5" s="167">
        <v>2</v>
      </c>
      <c r="AG5" s="165" t="s">
        <v>490</v>
      </c>
      <c r="AH5" s="167">
        <v>24</v>
      </c>
      <c r="AI5" s="168">
        <v>315331</v>
      </c>
      <c r="AJ5" s="167">
        <v>28</v>
      </c>
      <c r="AK5" s="165" t="s">
        <v>488</v>
      </c>
      <c r="AL5" s="167">
        <v>10</v>
      </c>
      <c r="AM5" s="168">
        <v>735776</v>
      </c>
      <c r="AN5" s="167">
        <v>26</v>
      </c>
      <c r="AO5" s="165" t="s">
        <v>490</v>
      </c>
      <c r="AP5" s="167">
        <v>64</v>
      </c>
      <c r="AQ5" s="168">
        <v>1785572</v>
      </c>
      <c r="AR5" s="167">
        <v>88</v>
      </c>
      <c r="AS5" s="165" t="s">
        <v>491</v>
      </c>
      <c r="AT5" s="167">
        <v>6</v>
      </c>
      <c r="AU5" s="168">
        <v>675144</v>
      </c>
      <c r="AV5" s="167">
        <v>8</v>
      </c>
      <c r="AW5" s="165" t="s">
        <v>491</v>
      </c>
      <c r="AX5" s="167">
        <v>5</v>
      </c>
      <c r="AY5" s="168">
        <v>400277</v>
      </c>
      <c r="AZ5" s="167">
        <v>5</v>
      </c>
    </row>
    <row r="6" spans="1:52" x14ac:dyDescent="0.2">
      <c r="A6" s="165" t="s">
        <v>489</v>
      </c>
      <c r="B6" s="166" t="s">
        <v>511</v>
      </c>
      <c r="C6" s="167">
        <v>6</v>
      </c>
      <c r="D6" s="168">
        <v>129667</v>
      </c>
      <c r="E6" s="167">
        <v>9</v>
      </c>
      <c r="F6" s="167"/>
      <c r="G6" s="167"/>
      <c r="H6" s="167"/>
      <c r="I6" s="167"/>
      <c r="J6" s="165" t="s">
        <v>491</v>
      </c>
      <c r="K6" s="167">
        <v>41</v>
      </c>
      <c r="L6" s="168">
        <v>6307947</v>
      </c>
      <c r="M6" s="167">
        <v>66</v>
      </c>
      <c r="N6" s="167"/>
      <c r="O6" s="167"/>
      <c r="P6" s="167"/>
      <c r="Q6" s="167"/>
      <c r="R6" s="165" t="s">
        <v>491</v>
      </c>
      <c r="S6" s="167">
        <v>12</v>
      </c>
      <c r="T6" s="168">
        <v>1478283</v>
      </c>
      <c r="U6" s="167">
        <v>15</v>
      </c>
      <c r="V6" s="167"/>
      <c r="W6" s="167"/>
      <c r="X6" s="165" t="s">
        <v>492</v>
      </c>
      <c r="Y6" s="165"/>
      <c r="Z6" s="167">
        <v>10</v>
      </c>
      <c r="AA6" s="168">
        <v>119430</v>
      </c>
      <c r="AB6" s="167">
        <v>10</v>
      </c>
      <c r="AC6" s="165" t="s">
        <v>490</v>
      </c>
      <c r="AD6" s="167">
        <v>40</v>
      </c>
      <c r="AE6" s="168">
        <v>861108</v>
      </c>
      <c r="AF6" s="167">
        <v>50</v>
      </c>
      <c r="AG6" s="165" t="s">
        <v>491</v>
      </c>
      <c r="AH6" s="167">
        <v>15</v>
      </c>
      <c r="AI6" s="168">
        <v>2212368</v>
      </c>
      <c r="AJ6" s="167">
        <v>23</v>
      </c>
      <c r="AK6" s="165" t="s">
        <v>489</v>
      </c>
      <c r="AL6" s="167">
        <v>2</v>
      </c>
      <c r="AM6" s="168">
        <v>942858</v>
      </c>
      <c r="AN6" s="167">
        <v>2</v>
      </c>
      <c r="AO6" s="165" t="s">
        <v>491</v>
      </c>
      <c r="AP6" s="167">
        <v>52</v>
      </c>
      <c r="AQ6" s="168">
        <v>6608276</v>
      </c>
      <c r="AR6" s="167">
        <v>76</v>
      </c>
      <c r="AS6" s="165" t="s">
        <v>492</v>
      </c>
      <c r="AT6" s="167">
        <v>3</v>
      </c>
      <c r="AU6" s="168">
        <v>52067</v>
      </c>
      <c r="AV6" s="167">
        <v>3</v>
      </c>
      <c r="AW6" s="165" t="s">
        <v>492</v>
      </c>
      <c r="AX6" s="167">
        <v>1</v>
      </c>
      <c r="AY6" s="168">
        <v>18026</v>
      </c>
      <c r="AZ6" s="167">
        <v>1</v>
      </c>
    </row>
    <row r="7" spans="1:52" x14ac:dyDescent="0.2">
      <c r="A7" s="165" t="s">
        <v>490</v>
      </c>
      <c r="B7" s="166" t="s">
        <v>512</v>
      </c>
      <c r="C7" s="167">
        <v>232</v>
      </c>
      <c r="D7" s="168">
        <v>14552231</v>
      </c>
      <c r="E7" s="167">
        <v>381</v>
      </c>
      <c r="F7" s="167"/>
      <c r="G7" s="167"/>
      <c r="H7" s="167"/>
      <c r="I7" s="167"/>
      <c r="J7" s="165" t="s">
        <v>492</v>
      </c>
      <c r="K7" s="167">
        <v>9</v>
      </c>
      <c r="L7" s="168">
        <v>111303</v>
      </c>
      <c r="M7" s="167">
        <v>10</v>
      </c>
      <c r="N7" s="167"/>
      <c r="O7" s="167"/>
      <c r="P7" s="167"/>
      <c r="Q7" s="167"/>
      <c r="R7" s="165" t="s">
        <v>492</v>
      </c>
      <c r="S7" s="167">
        <v>2</v>
      </c>
      <c r="T7" s="168">
        <v>16737</v>
      </c>
      <c r="U7" s="167">
        <v>1</v>
      </c>
      <c r="V7" s="167"/>
      <c r="W7" s="167"/>
      <c r="X7" s="165" t="s">
        <v>493</v>
      </c>
      <c r="Y7" s="165"/>
      <c r="Z7" s="167">
        <v>43</v>
      </c>
      <c r="AA7" s="168">
        <v>1081536</v>
      </c>
      <c r="AB7" s="167">
        <v>86</v>
      </c>
      <c r="AC7" s="165" t="s">
        <v>491</v>
      </c>
      <c r="AD7" s="167">
        <v>38</v>
      </c>
      <c r="AE7" s="168">
        <v>15493520</v>
      </c>
      <c r="AF7" s="167">
        <v>104</v>
      </c>
      <c r="AG7" s="165" t="s">
        <v>492</v>
      </c>
      <c r="AH7" s="167">
        <v>6</v>
      </c>
      <c r="AI7" s="168">
        <v>32199</v>
      </c>
      <c r="AJ7" s="167">
        <v>6</v>
      </c>
      <c r="AK7" s="165" t="s">
        <v>490</v>
      </c>
      <c r="AL7" s="167">
        <v>46</v>
      </c>
      <c r="AM7" s="168">
        <v>1312611</v>
      </c>
      <c r="AN7" s="167">
        <v>67</v>
      </c>
      <c r="AO7" s="165" t="s">
        <v>492</v>
      </c>
      <c r="AP7" s="167">
        <v>14</v>
      </c>
      <c r="AQ7" s="168">
        <v>151241</v>
      </c>
      <c r="AR7" s="167">
        <v>14</v>
      </c>
      <c r="AS7" s="165" t="s">
        <v>493</v>
      </c>
      <c r="AT7" s="167">
        <v>4</v>
      </c>
      <c r="AU7" s="168">
        <v>506152</v>
      </c>
      <c r="AV7" s="167">
        <v>10</v>
      </c>
      <c r="AW7" s="165" t="s">
        <v>493</v>
      </c>
      <c r="AX7" s="167">
        <v>6</v>
      </c>
      <c r="AY7" s="168">
        <v>379935</v>
      </c>
      <c r="AZ7" s="167">
        <v>8</v>
      </c>
    </row>
    <row r="8" spans="1:52" x14ac:dyDescent="0.2">
      <c r="A8" s="165" t="s">
        <v>491</v>
      </c>
      <c r="B8" s="166" t="s">
        <v>513</v>
      </c>
      <c r="C8" s="167">
        <v>817</v>
      </c>
      <c r="D8" s="168">
        <v>178281107</v>
      </c>
      <c r="E8" s="168">
        <v>2069</v>
      </c>
      <c r="F8" s="168"/>
      <c r="G8" s="168"/>
      <c r="H8" s="168"/>
      <c r="I8" s="168"/>
      <c r="J8" s="165" t="s">
        <v>493</v>
      </c>
      <c r="K8" s="167">
        <v>71</v>
      </c>
      <c r="L8" s="168">
        <v>3975250</v>
      </c>
      <c r="M8" s="167">
        <v>299</v>
      </c>
      <c r="N8" s="167"/>
      <c r="O8" s="167"/>
      <c r="P8" s="167"/>
      <c r="Q8" s="167"/>
      <c r="R8" s="165" t="s">
        <v>493</v>
      </c>
      <c r="S8" s="167">
        <v>37</v>
      </c>
      <c r="T8" s="168">
        <v>622821</v>
      </c>
      <c r="U8" s="167">
        <v>95</v>
      </c>
      <c r="V8" s="167"/>
      <c r="W8" s="167"/>
      <c r="X8" s="165" t="s">
        <v>494</v>
      </c>
      <c r="Y8" s="165"/>
      <c r="Z8" s="167">
        <v>1</v>
      </c>
      <c r="AA8" s="168">
        <v>3056247</v>
      </c>
      <c r="AB8" s="167">
        <v>31</v>
      </c>
      <c r="AC8" s="165" t="s">
        <v>492</v>
      </c>
      <c r="AD8" s="167">
        <v>20</v>
      </c>
      <c r="AE8" s="168">
        <v>1607167</v>
      </c>
      <c r="AF8" s="167">
        <v>43</v>
      </c>
      <c r="AG8" s="165" t="s">
        <v>493</v>
      </c>
      <c r="AH8" s="167">
        <v>31</v>
      </c>
      <c r="AI8" s="168">
        <v>636629</v>
      </c>
      <c r="AJ8" s="167">
        <v>73</v>
      </c>
      <c r="AK8" s="165" t="s">
        <v>491</v>
      </c>
      <c r="AL8" s="167">
        <v>60</v>
      </c>
      <c r="AM8" s="168">
        <v>6460546</v>
      </c>
      <c r="AN8" s="167">
        <v>103</v>
      </c>
      <c r="AO8" s="165" t="s">
        <v>493</v>
      </c>
      <c r="AP8" s="167">
        <v>45</v>
      </c>
      <c r="AQ8" s="168">
        <v>2000747</v>
      </c>
      <c r="AR8" s="167">
        <v>178</v>
      </c>
      <c r="AS8" s="165" t="s">
        <v>496</v>
      </c>
      <c r="AT8" s="167">
        <v>1</v>
      </c>
      <c r="AU8" s="167">
        <v>0</v>
      </c>
      <c r="AV8" s="167">
        <v>0</v>
      </c>
      <c r="AW8" s="165" t="s">
        <v>495</v>
      </c>
      <c r="AX8" s="167">
        <v>2</v>
      </c>
      <c r="AY8" s="168">
        <v>9848</v>
      </c>
      <c r="AZ8" s="167">
        <v>2</v>
      </c>
    </row>
    <row r="9" spans="1:52" x14ac:dyDescent="0.2">
      <c r="A9" s="165" t="s">
        <v>492</v>
      </c>
      <c r="B9" s="166" t="s">
        <v>514</v>
      </c>
      <c r="C9" s="167">
        <v>143</v>
      </c>
      <c r="D9" s="168">
        <v>13237041</v>
      </c>
      <c r="E9" s="167">
        <v>329</v>
      </c>
      <c r="F9" s="167"/>
      <c r="G9" s="167"/>
      <c r="H9" s="167"/>
      <c r="I9" s="167"/>
      <c r="J9" s="165" t="s">
        <v>494</v>
      </c>
      <c r="K9" s="167">
        <v>5</v>
      </c>
      <c r="L9" s="168">
        <v>201169</v>
      </c>
      <c r="M9" s="167">
        <v>8</v>
      </c>
      <c r="N9" s="167"/>
      <c r="O9" s="167"/>
      <c r="P9" s="167"/>
      <c r="Q9" s="167"/>
      <c r="R9" s="165" t="s">
        <v>494</v>
      </c>
      <c r="S9" s="167">
        <v>2</v>
      </c>
      <c r="T9" s="168">
        <v>8324</v>
      </c>
      <c r="U9" s="167">
        <v>2</v>
      </c>
      <c r="V9" s="167"/>
      <c r="W9" s="167"/>
      <c r="X9" s="165" t="s">
        <v>495</v>
      </c>
      <c r="Y9" s="165"/>
      <c r="Z9" s="167">
        <v>2</v>
      </c>
      <c r="AA9" s="168">
        <v>72733</v>
      </c>
      <c r="AB9" s="167">
        <v>6</v>
      </c>
      <c r="AC9" s="165" t="s">
        <v>493</v>
      </c>
      <c r="AD9" s="167">
        <v>14</v>
      </c>
      <c r="AE9" s="168">
        <v>157503</v>
      </c>
      <c r="AF9" s="167">
        <v>22</v>
      </c>
      <c r="AG9" s="165" t="s">
        <v>495</v>
      </c>
      <c r="AH9" s="167">
        <v>6</v>
      </c>
      <c r="AI9" s="168">
        <v>95568</v>
      </c>
      <c r="AJ9" s="167">
        <v>7</v>
      </c>
      <c r="AK9" s="165" t="s">
        <v>492</v>
      </c>
      <c r="AL9" s="167">
        <v>7</v>
      </c>
      <c r="AM9" s="168">
        <v>65584</v>
      </c>
      <c r="AN9" s="167">
        <v>8</v>
      </c>
      <c r="AO9" s="165" t="s">
        <v>494</v>
      </c>
      <c r="AP9" s="167">
        <v>4</v>
      </c>
      <c r="AQ9" s="168">
        <v>110225</v>
      </c>
      <c r="AR9" s="167">
        <v>5</v>
      </c>
      <c r="AS9" s="165" t="s">
        <v>497</v>
      </c>
      <c r="AT9" s="167">
        <v>3</v>
      </c>
      <c r="AU9" s="168">
        <v>50459</v>
      </c>
      <c r="AV9" s="167">
        <v>4</v>
      </c>
      <c r="AW9" s="165" t="s">
        <v>499</v>
      </c>
      <c r="AX9" s="167">
        <v>1</v>
      </c>
      <c r="AY9" s="168">
        <v>2337</v>
      </c>
      <c r="AZ9" s="167">
        <v>20</v>
      </c>
    </row>
    <row r="10" spans="1:52" x14ac:dyDescent="0.2">
      <c r="A10" s="165" t="s">
        <v>493</v>
      </c>
      <c r="B10" s="166" t="s">
        <v>515</v>
      </c>
      <c r="C10" s="167">
        <v>238</v>
      </c>
      <c r="D10" s="168">
        <v>19879632</v>
      </c>
      <c r="E10" s="168">
        <v>1525</v>
      </c>
      <c r="F10" s="168"/>
      <c r="G10" s="168"/>
      <c r="H10" s="168"/>
      <c r="I10" s="168"/>
      <c r="J10" s="165" t="s">
        <v>495</v>
      </c>
      <c r="K10" s="167">
        <v>3</v>
      </c>
      <c r="L10" s="168">
        <v>44218</v>
      </c>
      <c r="M10" s="167">
        <v>3</v>
      </c>
      <c r="N10" s="167"/>
      <c r="O10" s="167"/>
      <c r="P10" s="167"/>
      <c r="Q10" s="167"/>
      <c r="R10" s="165" t="s">
        <v>495</v>
      </c>
      <c r="S10" s="167">
        <v>1</v>
      </c>
      <c r="T10" s="168">
        <v>8729</v>
      </c>
      <c r="U10" s="167">
        <v>1</v>
      </c>
      <c r="V10" s="167"/>
      <c r="W10" s="167"/>
      <c r="X10" s="165" t="s">
        <v>496</v>
      </c>
      <c r="Y10" s="165"/>
      <c r="Z10" s="167">
        <v>3</v>
      </c>
      <c r="AA10" s="168">
        <v>106284</v>
      </c>
      <c r="AB10" s="167">
        <v>3</v>
      </c>
      <c r="AC10" s="165" t="s">
        <v>494</v>
      </c>
      <c r="AD10" s="167">
        <v>4</v>
      </c>
      <c r="AE10" s="168">
        <v>99125</v>
      </c>
      <c r="AF10" s="167">
        <v>4</v>
      </c>
      <c r="AG10" s="165" t="s">
        <v>497</v>
      </c>
      <c r="AH10" s="167">
        <v>5</v>
      </c>
      <c r="AI10" s="168">
        <v>103537</v>
      </c>
      <c r="AJ10" s="167">
        <v>5</v>
      </c>
      <c r="AK10" s="165" t="s">
        <v>493</v>
      </c>
      <c r="AL10" s="167">
        <v>86</v>
      </c>
      <c r="AM10" s="168">
        <v>2939116</v>
      </c>
      <c r="AN10" s="167">
        <v>208</v>
      </c>
      <c r="AO10" s="165" t="s">
        <v>495</v>
      </c>
      <c r="AP10" s="167">
        <v>5</v>
      </c>
      <c r="AQ10" s="168">
        <v>115447</v>
      </c>
      <c r="AR10" s="167">
        <v>5</v>
      </c>
      <c r="AS10" s="165" t="s">
        <v>498</v>
      </c>
      <c r="AT10" s="167">
        <v>1</v>
      </c>
      <c r="AU10" s="168">
        <v>13800</v>
      </c>
      <c r="AV10" s="167">
        <v>1</v>
      </c>
      <c r="AW10" s="165" t="s">
        <v>500</v>
      </c>
      <c r="AX10" s="167">
        <v>1</v>
      </c>
      <c r="AY10" s="169"/>
      <c r="AZ10" s="167">
        <v>1</v>
      </c>
    </row>
    <row r="11" spans="1:52" x14ac:dyDescent="0.2">
      <c r="A11" s="165" t="s">
        <v>494</v>
      </c>
      <c r="B11" s="166" t="s">
        <v>516</v>
      </c>
      <c r="C11" s="167">
        <v>46</v>
      </c>
      <c r="D11" s="168">
        <v>5408390</v>
      </c>
      <c r="E11" s="167">
        <v>131</v>
      </c>
      <c r="F11" s="167"/>
      <c r="G11" s="167"/>
      <c r="H11" s="167"/>
      <c r="I11" s="167"/>
      <c r="J11" s="165" t="s">
        <v>496</v>
      </c>
      <c r="K11" s="167">
        <v>1</v>
      </c>
      <c r="L11" s="168">
        <v>5734</v>
      </c>
      <c r="M11" s="167">
        <v>1</v>
      </c>
      <c r="N11" s="167"/>
      <c r="O11" s="167"/>
      <c r="P11" s="167"/>
      <c r="Q11" s="167"/>
      <c r="R11" s="165" t="s">
        <v>497</v>
      </c>
      <c r="S11" s="167">
        <v>11</v>
      </c>
      <c r="T11" s="168">
        <v>201616</v>
      </c>
      <c r="U11" s="167">
        <v>11</v>
      </c>
      <c r="V11" s="167"/>
      <c r="W11" s="167"/>
      <c r="X11" s="165" t="s">
        <v>497</v>
      </c>
      <c r="Y11" s="165"/>
      <c r="Z11" s="167">
        <v>8</v>
      </c>
      <c r="AA11" s="168">
        <v>250973</v>
      </c>
      <c r="AB11" s="167">
        <v>11</v>
      </c>
      <c r="AC11" s="165" t="s">
        <v>495</v>
      </c>
      <c r="AD11" s="167">
        <v>6</v>
      </c>
      <c r="AE11" s="168">
        <v>118882</v>
      </c>
      <c r="AF11" s="167">
        <v>6</v>
      </c>
      <c r="AG11" s="165" t="s">
        <v>498</v>
      </c>
      <c r="AH11" s="167">
        <v>3</v>
      </c>
      <c r="AI11" s="168">
        <v>7126</v>
      </c>
      <c r="AJ11" s="167">
        <v>3</v>
      </c>
      <c r="AK11" s="165" t="s">
        <v>494</v>
      </c>
      <c r="AL11" s="167">
        <v>2</v>
      </c>
      <c r="AM11" s="168">
        <v>42350</v>
      </c>
      <c r="AN11" s="167">
        <v>1</v>
      </c>
      <c r="AO11" s="165" t="s">
        <v>497</v>
      </c>
      <c r="AP11" s="167">
        <v>21</v>
      </c>
      <c r="AQ11" s="168">
        <v>329697</v>
      </c>
      <c r="AR11" s="167">
        <v>23</v>
      </c>
      <c r="AS11" s="165" t="s">
        <v>499</v>
      </c>
      <c r="AT11" s="167">
        <v>1</v>
      </c>
      <c r="AU11" s="167">
        <v>0</v>
      </c>
      <c r="AV11" s="167">
        <v>20</v>
      </c>
      <c r="AW11" s="165" t="s">
        <v>501</v>
      </c>
      <c r="AX11" s="167">
        <v>1</v>
      </c>
      <c r="AY11" s="169"/>
      <c r="AZ11" s="167">
        <v>1</v>
      </c>
    </row>
    <row r="12" spans="1:52" x14ac:dyDescent="0.2">
      <c r="A12" s="165" t="s">
        <v>495</v>
      </c>
      <c r="B12" s="166" t="s">
        <v>517</v>
      </c>
      <c r="C12" s="167">
        <v>63</v>
      </c>
      <c r="D12" s="168">
        <v>2031273</v>
      </c>
      <c r="E12" s="167">
        <v>114</v>
      </c>
      <c r="F12" s="167"/>
      <c r="G12" s="167"/>
      <c r="H12" s="167"/>
      <c r="I12" s="167"/>
      <c r="J12" s="165" t="s">
        <v>497</v>
      </c>
      <c r="K12" s="167">
        <v>16</v>
      </c>
      <c r="L12" s="168">
        <v>202307</v>
      </c>
      <c r="M12" s="167">
        <v>19</v>
      </c>
      <c r="N12" s="167"/>
      <c r="O12" s="167"/>
      <c r="P12" s="167"/>
      <c r="Q12" s="167"/>
      <c r="R12" s="165" t="s">
        <v>498</v>
      </c>
      <c r="S12" s="167">
        <v>1</v>
      </c>
      <c r="T12" s="168">
        <v>11315</v>
      </c>
      <c r="U12" s="167">
        <v>1</v>
      </c>
      <c r="V12" s="167"/>
      <c r="W12" s="167"/>
      <c r="X12" s="165" t="s">
        <v>498</v>
      </c>
      <c r="Y12" s="165"/>
      <c r="Z12" s="167">
        <v>3</v>
      </c>
      <c r="AA12" s="168">
        <v>13080</v>
      </c>
      <c r="AB12" s="167">
        <v>3</v>
      </c>
      <c r="AC12" s="165" t="s">
        <v>497</v>
      </c>
      <c r="AD12" s="167">
        <v>8</v>
      </c>
      <c r="AE12" s="168">
        <v>184236</v>
      </c>
      <c r="AF12" s="167">
        <v>8</v>
      </c>
      <c r="AG12" s="165" t="s">
        <v>500</v>
      </c>
      <c r="AH12" s="167">
        <v>4</v>
      </c>
      <c r="AI12" s="168">
        <v>40390</v>
      </c>
      <c r="AJ12" s="167">
        <v>10</v>
      </c>
      <c r="AK12" s="165" t="s">
        <v>495</v>
      </c>
      <c r="AL12" s="167">
        <v>1</v>
      </c>
      <c r="AM12" s="168">
        <v>7101</v>
      </c>
      <c r="AN12" s="167">
        <v>1</v>
      </c>
      <c r="AO12" s="165" t="s">
        <v>498</v>
      </c>
      <c r="AP12" s="167">
        <v>11</v>
      </c>
      <c r="AQ12" s="168">
        <v>86062</v>
      </c>
      <c r="AR12" s="167">
        <v>11</v>
      </c>
      <c r="AS12" s="165" t="s">
        <v>500</v>
      </c>
      <c r="AT12" s="167">
        <v>2</v>
      </c>
      <c r="AU12" s="169"/>
      <c r="AV12" s="167">
        <v>2</v>
      </c>
      <c r="AW12" s="165" t="s">
        <v>502</v>
      </c>
      <c r="AX12" s="167">
        <v>1</v>
      </c>
      <c r="AY12" s="168">
        <v>27298</v>
      </c>
      <c r="AZ12" s="167">
        <v>3</v>
      </c>
    </row>
    <row r="13" spans="1:52" x14ac:dyDescent="0.2">
      <c r="A13" s="165" t="s">
        <v>496</v>
      </c>
      <c r="B13" s="166" t="s">
        <v>518</v>
      </c>
      <c r="C13" s="167">
        <v>23</v>
      </c>
      <c r="D13" s="168">
        <v>1134844</v>
      </c>
      <c r="E13" s="167">
        <v>32</v>
      </c>
      <c r="F13" s="167"/>
      <c r="G13" s="167"/>
      <c r="H13" s="167"/>
      <c r="I13" s="167"/>
      <c r="J13" s="165" t="s">
        <v>498</v>
      </c>
      <c r="K13" s="167">
        <v>9</v>
      </c>
      <c r="L13" s="168">
        <v>312297</v>
      </c>
      <c r="M13" s="167">
        <v>14</v>
      </c>
      <c r="N13" s="167"/>
      <c r="O13" s="167"/>
      <c r="P13" s="167"/>
      <c r="Q13" s="167"/>
      <c r="R13" s="165" t="s">
        <v>500</v>
      </c>
      <c r="S13" s="167">
        <v>1</v>
      </c>
      <c r="T13" s="168">
        <v>1334</v>
      </c>
      <c r="U13" s="167">
        <v>1</v>
      </c>
      <c r="V13" s="167"/>
      <c r="W13" s="167"/>
      <c r="X13" s="165" t="s">
        <v>500</v>
      </c>
      <c r="Y13" s="165"/>
      <c r="Z13" s="167">
        <v>6</v>
      </c>
      <c r="AA13" s="168">
        <v>164069</v>
      </c>
      <c r="AB13" s="167">
        <v>40</v>
      </c>
      <c r="AC13" s="165" t="s">
        <v>498</v>
      </c>
      <c r="AD13" s="167">
        <v>1</v>
      </c>
      <c r="AE13" s="168">
        <v>1573</v>
      </c>
      <c r="AF13" s="167">
        <v>1</v>
      </c>
      <c r="AG13" s="165" t="s">
        <v>501</v>
      </c>
      <c r="AH13" s="167">
        <v>1</v>
      </c>
      <c r="AI13" s="167">
        <v>961</v>
      </c>
      <c r="AJ13" s="167">
        <v>1</v>
      </c>
      <c r="AK13" s="165" t="s">
        <v>496</v>
      </c>
      <c r="AL13" s="167">
        <v>2</v>
      </c>
      <c r="AM13" s="168">
        <v>76533</v>
      </c>
      <c r="AN13" s="167">
        <v>9</v>
      </c>
      <c r="AO13" s="165" t="s">
        <v>500</v>
      </c>
      <c r="AP13" s="167">
        <v>10</v>
      </c>
      <c r="AQ13" s="168">
        <v>116258</v>
      </c>
      <c r="AR13" s="167">
        <v>9</v>
      </c>
      <c r="AS13" s="165" t="s">
        <v>502</v>
      </c>
      <c r="AT13" s="167">
        <v>1</v>
      </c>
      <c r="AU13" s="169"/>
      <c r="AV13" s="167">
        <v>2</v>
      </c>
      <c r="AW13" s="165" t="s">
        <v>504</v>
      </c>
      <c r="AX13" s="167">
        <v>1</v>
      </c>
      <c r="AY13" s="167">
        <v>50</v>
      </c>
      <c r="AZ13" s="169"/>
    </row>
    <row r="14" spans="1:52" x14ac:dyDescent="0.2">
      <c r="A14" s="165" t="s">
        <v>497</v>
      </c>
      <c r="B14" s="166" t="s">
        <v>519</v>
      </c>
      <c r="C14" s="167">
        <v>448</v>
      </c>
      <c r="D14" s="168">
        <v>15443394</v>
      </c>
      <c r="E14" s="167">
        <v>675</v>
      </c>
      <c r="F14" s="167"/>
      <c r="G14" s="167"/>
      <c r="H14" s="167"/>
      <c r="I14" s="167"/>
      <c r="J14" s="165" t="s">
        <v>500</v>
      </c>
      <c r="K14" s="167">
        <v>1</v>
      </c>
      <c r="L14" s="168">
        <v>22848</v>
      </c>
      <c r="M14" s="167">
        <v>2</v>
      </c>
      <c r="N14" s="167"/>
      <c r="O14" s="167"/>
      <c r="P14" s="167"/>
      <c r="Q14" s="167"/>
      <c r="R14" s="165" t="s">
        <v>502</v>
      </c>
      <c r="S14" s="167">
        <v>3</v>
      </c>
      <c r="T14" s="168">
        <v>9378</v>
      </c>
      <c r="U14" s="167">
        <v>3</v>
      </c>
      <c r="V14" s="167"/>
      <c r="W14" s="167"/>
      <c r="X14" s="165" t="s">
        <v>501</v>
      </c>
      <c r="Y14" s="165"/>
      <c r="Z14" s="167">
        <v>5</v>
      </c>
      <c r="AA14" s="168">
        <v>44590</v>
      </c>
      <c r="AB14" s="167">
        <v>5</v>
      </c>
      <c r="AC14" s="165" t="s">
        <v>500</v>
      </c>
      <c r="AD14" s="167">
        <v>3</v>
      </c>
      <c r="AE14" s="168">
        <v>16604</v>
      </c>
      <c r="AF14" s="167">
        <v>2</v>
      </c>
      <c r="AG14" s="165" t="s">
        <v>502</v>
      </c>
      <c r="AH14" s="167">
        <v>3</v>
      </c>
      <c r="AI14" s="168">
        <v>36058</v>
      </c>
      <c r="AJ14" s="167">
        <v>8</v>
      </c>
      <c r="AK14" s="165" t="s">
        <v>497</v>
      </c>
      <c r="AL14" s="167">
        <v>20</v>
      </c>
      <c r="AM14" s="168">
        <v>272706</v>
      </c>
      <c r="AN14" s="167">
        <v>24</v>
      </c>
      <c r="AO14" s="165" t="s">
        <v>501</v>
      </c>
      <c r="AP14" s="167">
        <v>5</v>
      </c>
      <c r="AQ14" s="168">
        <v>106431</v>
      </c>
      <c r="AR14" s="167">
        <v>5</v>
      </c>
      <c r="AS14" s="165" t="s">
        <v>503</v>
      </c>
      <c r="AT14" s="167">
        <v>2</v>
      </c>
      <c r="AU14" s="168">
        <v>535856</v>
      </c>
      <c r="AV14" s="167">
        <v>3</v>
      </c>
    </row>
    <row r="15" spans="1:52" x14ac:dyDescent="0.2">
      <c r="A15" s="165" t="s">
        <v>498</v>
      </c>
      <c r="B15" s="166" t="s">
        <v>520</v>
      </c>
      <c r="C15" s="167">
        <v>81</v>
      </c>
      <c r="D15" s="168">
        <v>3551996</v>
      </c>
      <c r="E15" s="167">
        <v>145</v>
      </c>
      <c r="F15" s="167"/>
      <c r="G15" s="167"/>
      <c r="H15" s="167"/>
      <c r="I15" s="167"/>
      <c r="J15" s="165" t="s">
        <v>501</v>
      </c>
      <c r="K15" s="167">
        <v>6</v>
      </c>
      <c r="L15" s="168">
        <v>480326</v>
      </c>
      <c r="M15" s="167">
        <v>27</v>
      </c>
      <c r="N15" s="167"/>
      <c r="O15" s="167"/>
      <c r="P15" s="167"/>
      <c r="Q15" s="167"/>
      <c r="R15" s="165" t="s">
        <v>503</v>
      </c>
      <c r="S15" s="167">
        <v>2</v>
      </c>
      <c r="T15" s="168">
        <v>4007</v>
      </c>
      <c r="U15" s="167">
        <v>1</v>
      </c>
      <c r="V15" s="167"/>
      <c r="W15" s="167"/>
      <c r="X15" s="165" t="s">
        <v>502</v>
      </c>
      <c r="Y15" s="165"/>
      <c r="Z15" s="167">
        <v>5</v>
      </c>
      <c r="AA15" s="168">
        <v>28255</v>
      </c>
      <c r="AB15" s="167">
        <v>5</v>
      </c>
      <c r="AC15" s="165" t="s">
        <v>501</v>
      </c>
      <c r="AD15" s="167">
        <v>3</v>
      </c>
      <c r="AE15" s="168">
        <v>19533</v>
      </c>
      <c r="AF15" s="167">
        <v>3</v>
      </c>
      <c r="AG15" s="165" t="s">
        <v>503</v>
      </c>
      <c r="AH15" s="167">
        <v>5</v>
      </c>
      <c r="AI15" s="168">
        <v>13314</v>
      </c>
      <c r="AJ15" s="167">
        <v>15</v>
      </c>
      <c r="AK15" s="165" t="s">
        <v>498</v>
      </c>
      <c r="AL15" s="167">
        <v>8</v>
      </c>
      <c r="AM15" s="168">
        <v>239038</v>
      </c>
      <c r="AN15" s="167">
        <v>22</v>
      </c>
      <c r="AO15" s="165" t="s">
        <v>502</v>
      </c>
      <c r="AP15" s="167">
        <v>6</v>
      </c>
      <c r="AQ15" s="168">
        <v>27354</v>
      </c>
      <c r="AR15" s="167">
        <v>10</v>
      </c>
      <c r="AS15" s="165" t="s">
        <v>504</v>
      </c>
      <c r="AT15" s="167">
        <v>2</v>
      </c>
      <c r="AU15" s="168">
        <v>11714</v>
      </c>
      <c r="AV15" s="167">
        <v>2</v>
      </c>
    </row>
    <row r="16" spans="1:52" x14ac:dyDescent="0.2">
      <c r="A16" s="165" t="s">
        <v>499</v>
      </c>
      <c r="B16" s="166" t="s">
        <v>521</v>
      </c>
      <c r="C16" s="167">
        <v>8</v>
      </c>
      <c r="D16" s="168">
        <v>147534</v>
      </c>
      <c r="E16" s="167">
        <v>788</v>
      </c>
      <c r="F16" s="167"/>
      <c r="G16" s="167"/>
      <c r="H16" s="167"/>
      <c r="I16" s="167"/>
      <c r="J16" s="165" t="s">
        <v>502</v>
      </c>
      <c r="K16" s="167">
        <v>4</v>
      </c>
      <c r="L16" s="168">
        <v>24154</v>
      </c>
      <c r="M16" s="167">
        <v>4</v>
      </c>
      <c r="N16" s="170"/>
      <c r="O16" s="170"/>
      <c r="P16" s="170"/>
      <c r="Q16" s="170"/>
      <c r="X16" s="165" t="s">
        <v>503</v>
      </c>
      <c r="Y16" s="165"/>
      <c r="Z16" s="167">
        <v>8</v>
      </c>
      <c r="AA16" s="168">
        <v>73790</v>
      </c>
      <c r="AB16" s="167">
        <v>31</v>
      </c>
      <c r="AC16" s="165" t="s">
        <v>502</v>
      </c>
      <c r="AD16" s="167">
        <v>3</v>
      </c>
      <c r="AE16" s="168">
        <v>4025</v>
      </c>
      <c r="AF16" s="167">
        <v>3</v>
      </c>
      <c r="AG16" s="165" t="s">
        <v>504</v>
      </c>
      <c r="AH16" s="167">
        <v>3</v>
      </c>
      <c r="AI16" s="168">
        <v>3335</v>
      </c>
      <c r="AJ16" s="167">
        <v>1</v>
      </c>
      <c r="AK16" s="165" t="s">
        <v>500</v>
      </c>
      <c r="AL16" s="167">
        <v>3</v>
      </c>
      <c r="AM16" s="168">
        <v>24944</v>
      </c>
      <c r="AN16" s="167">
        <v>16</v>
      </c>
      <c r="AO16" s="165" t="s">
        <v>503</v>
      </c>
      <c r="AP16" s="167">
        <v>12</v>
      </c>
      <c r="AQ16" s="168">
        <v>114070</v>
      </c>
      <c r="AR16" s="167">
        <v>29</v>
      </c>
    </row>
    <row r="17" spans="1:44" x14ac:dyDescent="0.2">
      <c r="A17" s="165" t="s">
        <v>500</v>
      </c>
      <c r="B17" s="166" t="s">
        <v>522</v>
      </c>
      <c r="C17" s="167">
        <v>92</v>
      </c>
      <c r="D17" s="168">
        <v>1581837</v>
      </c>
      <c r="E17" s="168">
        <v>1626</v>
      </c>
      <c r="F17" s="168"/>
      <c r="G17" s="168"/>
      <c r="H17" s="168"/>
      <c r="I17" s="168"/>
      <c r="J17" s="165" t="s">
        <v>503</v>
      </c>
      <c r="K17" s="167">
        <v>7</v>
      </c>
      <c r="L17" s="168">
        <v>159014</v>
      </c>
      <c r="M17" s="167">
        <v>18</v>
      </c>
      <c r="N17" s="170"/>
      <c r="O17" s="170"/>
      <c r="P17" s="170"/>
      <c r="Q17" s="170"/>
      <c r="AC17" s="165" t="s">
        <v>503</v>
      </c>
      <c r="AD17" s="167">
        <v>2</v>
      </c>
      <c r="AE17" s="168">
        <v>2205</v>
      </c>
      <c r="AF17" s="167">
        <v>2</v>
      </c>
      <c r="AK17" s="165" t="s">
        <v>501</v>
      </c>
      <c r="AL17" s="167">
        <v>2</v>
      </c>
      <c r="AM17" s="168">
        <v>18402</v>
      </c>
      <c r="AN17" s="167">
        <v>2</v>
      </c>
      <c r="AO17" s="165" t="s">
        <v>504</v>
      </c>
      <c r="AP17" s="167">
        <v>2</v>
      </c>
      <c r="AQ17" s="168">
        <v>2095</v>
      </c>
      <c r="AR17" s="167">
        <v>5</v>
      </c>
    </row>
    <row r="18" spans="1:44" x14ac:dyDescent="0.2">
      <c r="A18" s="165" t="s">
        <v>501</v>
      </c>
      <c r="B18" s="166" t="s">
        <v>523</v>
      </c>
      <c r="C18" s="167">
        <v>212</v>
      </c>
      <c r="D18" s="168">
        <v>11723479</v>
      </c>
      <c r="E18" s="168">
        <v>1050</v>
      </c>
      <c r="F18" s="171"/>
      <c r="G18" s="171"/>
      <c r="H18" s="171"/>
      <c r="I18" s="171"/>
      <c r="AK18" s="165" t="s">
        <v>502</v>
      </c>
      <c r="AL18" s="167">
        <v>5</v>
      </c>
      <c r="AM18" s="168">
        <v>12053</v>
      </c>
      <c r="AN18" s="167">
        <v>6</v>
      </c>
    </row>
    <row r="19" spans="1:44" x14ac:dyDescent="0.2">
      <c r="A19" s="165" t="s">
        <v>502</v>
      </c>
      <c r="B19" s="166" t="s">
        <v>524</v>
      </c>
      <c r="C19" s="167">
        <v>66</v>
      </c>
      <c r="D19" s="168">
        <v>1053896</v>
      </c>
      <c r="E19" s="167">
        <v>146</v>
      </c>
      <c r="F19" s="170"/>
      <c r="G19" s="170"/>
      <c r="H19" s="170"/>
      <c r="I19" s="170"/>
      <c r="AK19" s="165" t="s">
        <v>503</v>
      </c>
      <c r="AL19" s="167">
        <v>10</v>
      </c>
      <c r="AM19" s="168">
        <v>96842</v>
      </c>
      <c r="AN19" s="167">
        <v>12</v>
      </c>
    </row>
    <row r="20" spans="1:44" x14ac:dyDescent="0.2">
      <c r="A20" s="165" t="s">
        <v>503</v>
      </c>
      <c r="B20" s="166" t="s">
        <v>525</v>
      </c>
      <c r="C20" s="167">
        <v>149</v>
      </c>
      <c r="D20" s="168">
        <v>2281889</v>
      </c>
      <c r="E20" s="167">
        <v>377</v>
      </c>
      <c r="F20" s="170"/>
      <c r="G20" s="170"/>
      <c r="H20" s="170"/>
      <c r="I20" s="170"/>
      <c r="AK20" s="165" t="s">
        <v>504</v>
      </c>
      <c r="AL20" s="167">
        <v>2</v>
      </c>
      <c r="AM20" s="169"/>
      <c r="AN20" s="167">
        <v>2</v>
      </c>
    </row>
    <row r="21" spans="1:44" x14ac:dyDescent="0.2">
      <c r="A21" s="165" t="s">
        <v>504</v>
      </c>
      <c r="B21" s="166" t="s">
        <v>526</v>
      </c>
      <c r="C21" s="167">
        <v>17</v>
      </c>
      <c r="D21" s="169"/>
      <c r="E21" s="167">
        <v>43</v>
      </c>
      <c r="F21" s="170"/>
      <c r="G21" s="170"/>
      <c r="H21" s="170"/>
      <c r="I21" s="170"/>
    </row>
    <row r="25" spans="1:44" x14ac:dyDescent="0.2">
      <c r="A25" s="37">
        <v>2020</v>
      </c>
      <c r="C25" s="37" t="s">
        <v>544</v>
      </c>
      <c r="G25" s="37">
        <v>2010</v>
      </c>
      <c r="K25" s="37" t="s">
        <v>535</v>
      </c>
      <c r="S25" s="37" t="s">
        <v>536</v>
      </c>
      <c r="AB25" s="37" t="s">
        <v>538</v>
      </c>
    </row>
    <row r="26" spans="1:44" x14ac:dyDescent="0.2">
      <c r="A26" s="172" t="s">
        <v>537</v>
      </c>
      <c r="B26" s="173" t="s">
        <v>537</v>
      </c>
      <c r="C26" s="174">
        <v>6658</v>
      </c>
      <c r="D26" s="175">
        <v>464308.21154999943</v>
      </c>
      <c r="E26" s="176">
        <v>15161</v>
      </c>
      <c r="F26" s="177"/>
      <c r="G26" s="177">
        <f>SUM(G27:G4626)</f>
        <v>5135</v>
      </c>
      <c r="H26" s="178">
        <f>SUM(H27:H46)</f>
        <v>814536528.1971333</v>
      </c>
      <c r="I26" s="177"/>
      <c r="K26" s="37">
        <f>SUM(K27:K46)</f>
        <v>48</v>
      </c>
      <c r="L26" s="37">
        <f t="shared" ref="L26:U26" si="0">SUM(L27:L46)</f>
        <v>2531836</v>
      </c>
      <c r="M26" s="37">
        <f t="shared" si="0"/>
        <v>71</v>
      </c>
      <c r="S26" s="37">
        <f t="shared" si="0"/>
        <v>41</v>
      </c>
      <c r="T26" s="37">
        <f t="shared" si="0"/>
        <v>967269</v>
      </c>
      <c r="U26" s="37">
        <f t="shared" si="0"/>
        <v>58</v>
      </c>
      <c r="AA26" s="37">
        <v>2020</v>
      </c>
      <c r="AB26" s="37">
        <f>SUM(AB27:AB45)</f>
        <v>68</v>
      </c>
      <c r="AC26" s="37">
        <f>SUM(AC27:AC45)</f>
        <v>3485198</v>
      </c>
      <c r="AD26" s="37">
        <f>SUM(AD27:AD45)</f>
        <v>159</v>
      </c>
      <c r="AE26" s="37">
        <v>2010</v>
      </c>
    </row>
    <row r="27" spans="1:44" x14ac:dyDescent="0.2">
      <c r="A27" s="179" t="s">
        <v>551</v>
      </c>
      <c r="B27" s="180" t="s">
        <v>552</v>
      </c>
      <c r="C27" s="181">
        <v>2424</v>
      </c>
      <c r="D27" s="182">
        <v>44087.126089999969</v>
      </c>
      <c r="E27" s="183">
        <v>2276</v>
      </c>
      <c r="F27" s="184" t="s">
        <v>485</v>
      </c>
      <c r="G27" s="185">
        <v>83</v>
      </c>
      <c r="H27" s="186">
        <v>30602036.015000004</v>
      </c>
      <c r="I27" s="187"/>
      <c r="J27" s="165" t="s">
        <v>485</v>
      </c>
      <c r="K27" s="167">
        <v>15</v>
      </c>
      <c r="L27" s="168">
        <v>276546</v>
      </c>
      <c r="M27" s="167">
        <v>7</v>
      </c>
      <c r="N27" s="188" t="s">
        <v>485</v>
      </c>
      <c r="O27" s="185">
        <v>1</v>
      </c>
      <c r="P27" s="185">
        <v>871956.96</v>
      </c>
      <c r="Q27" s="167"/>
      <c r="R27" s="165" t="s">
        <v>485</v>
      </c>
      <c r="S27" s="167">
        <v>19</v>
      </c>
      <c r="T27" s="168">
        <v>87115</v>
      </c>
      <c r="U27" s="167">
        <v>13</v>
      </c>
      <c r="V27" s="188" t="s">
        <v>485</v>
      </c>
      <c r="W27" s="185">
        <v>1</v>
      </c>
      <c r="X27" s="185">
        <v>3601.86</v>
      </c>
      <c r="Y27" s="189"/>
      <c r="Z27" s="165" t="s">
        <v>485</v>
      </c>
      <c r="AA27" s="166" t="s">
        <v>507</v>
      </c>
      <c r="AB27" s="167">
        <v>9</v>
      </c>
      <c r="AC27" s="168">
        <v>52870</v>
      </c>
      <c r="AD27" s="167">
        <v>8</v>
      </c>
      <c r="AE27" s="188" t="s">
        <v>485</v>
      </c>
      <c r="AF27" s="185">
        <v>1</v>
      </c>
      <c r="AG27" s="185">
        <v>408.35</v>
      </c>
    </row>
    <row r="28" spans="1:44" x14ac:dyDescent="0.2">
      <c r="A28" s="190" t="s">
        <v>553</v>
      </c>
      <c r="B28" s="191" t="s">
        <v>554</v>
      </c>
      <c r="C28" s="181" t="s">
        <v>505</v>
      </c>
      <c r="D28" s="182" t="s">
        <v>505</v>
      </c>
      <c r="E28" s="183" t="s">
        <v>505</v>
      </c>
      <c r="F28" s="184" t="s">
        <v>486</v>
      </c>
      <c r="G28" s="185">
        <v>6</v>
      </c>
      <c r="H28" s="192">
        <v>1115068.1499999999</v>
      </c>
      <c r="I28" s="187"/>
      <c r="J28" s="165"/>
      <c r="K28" s="167"/>
      <c r="L28" s="168"/>
      <c r="M28" s="167"/>
      <c r="N28" s="188"/>
      <c r="O28" s="185"/>
      <c r="P28" s="185"/>
      <c r="Q28" s="167"/>
      <c r="R28" s="165"/>
      <c r="S28" s="167"/>
      <c r="T28" s="168"/>
      <c r="U28" s="167"/>
      <c r="V28" s="188"/>
      <c r="W28" s="185"/>
      <c r="X28" s="185"/>
      <c r="Y28" s="189"/>
      <c r="Z28" s="165"/>
      <c r="AA28" s="166"/>
      <c r="AB28" s="167"/>
      <c r="AC28" s="168"/>
      <c r="AD28" s="167"/>
      <c r="AE28" s="188"/>
      <c r="AF28" s="185"/>
      <c r="AG28" s="185"/>
    </row>
    <row r="29" spans="1:44" x14ac:dyDescent="0.2">
      <c r="A29" s="190" t="s">
        <v>555</v>
      </c>
      <c r="B29" s="191" t="s">
        <v>556</v>
      </c>
      <c r="C29" s="181">
        <v>279</v>
      </c>
      <c r="D29" s="182">
        <v>62565.516570000007</v>
      </c>
      <c r="E29" s="183">
        <v>829</v>
      </c>
      <c r="F29" s="184" t="s">
        <v>487</v>
      </c>
      <c r="G29" s="185">
        <v>354</v>
      </c>
      <c r="H29" s="192">
        <v>235958449.515338</v>
      </c>
      <c r="I29" s="187"/>
      <c r="J29" s="165" t="s">
        <v>487</v>
      </c>
      <c r="K29" s="167">
        <v>2</v>
      </c>
      <c r="L29" s="168">
        <v>58988</v>
      </c>
      <c r="M29" s="167">
        <v>2</v>
      </c>
      <c r="N29" s="188" t="s">
        <v>487</v>
      </c>
      <c r="O29" s="185">
        <v>2</v>
      </c>
      <c r="P29" s="185">
        <v>14789.31</v>
      </c>
      <c r="Q29" s="167"/>
      <c r="R29" s="165" t="s">
        <v>487</v>
      </c>
      <c r="S29" s="167">
        <v>1</v>
      </c>
      <c r="T29" s="168">
        <v>21178</v>
      </c>
      <c r="U29" s="167">
        <v>1</v>
      </c>
      <c r="V29" s="188" t="s">
        <v>487</v>
      </c>
      <c r="W29" s="185">
        <v>1</v>
      </c>
      <c r="X29" s="185">
        <v>15470.5</v>
      </c>
      <c r="Y29" s="189"/>
      <c r="Z29" s="165" t="s">
        <v>487</v>
      </c>
      <c r="AA29" s="166" t="s">
        <v>509</v>
      </c>
      <c r="AB29" s="167">
        <v>1</v>
      </c>
      <c r="AC29" s="168">
        <v>110256</v>
      </c>
      <c r="AD29" s="167">
        <v>3</v>
      </c>
      <c r="AE29" s="188" t="s">
        <v>487</v>
      </c>
      <c r="AF29" s="185">
        <v>1</v>
      </c>
      <c r="AG29" s="185">
        <v>97303.360000000001</v>
      </c>
    </row>
    <row r="30" spans="1:44" x14ac:dyDescent="0.2">
      <c r="A30" s="190" t="s">
        <v>557</v>
      </c>
      <c r="B30" s="191" t="s">
        <v>558</v>
      </c>
      <c r="C30" s="181">
        <v>36</v>
      </c>
      <c r="D30" s="182">
        <v>2914.3121399999995</v>
      </c>
      <c r="E30" s="183">
        <v>75</v>
      </c>
      <c r="F30" s="184" t="s">
        <v>488</v>
      </c>
      <c r="G30" s="185">
        <v>42</v>
      </c>
      <c r="H30" s="192">
        <v>2739000.7549999999</v>
      </c>
      <c r="I30" s="187"/>
      <c r="J30" s="165"/>
      <c r="K30" s="167"/>
      <c r="L30" s="168"/>
      <c r="M30" s="167"/>
      <c r="N30" s="188"/>
      <c r="O30" s="185"/>
      <c r="P30" s="185"/>
      <c r="Q30" s="167"/>
      <c r="R30" s="165"/>
      <c r="S30" s="167"/>
      <c r="T30" s="168"/>
      <c r="U30" s="167"/>
      <c r="V30" s="188"/>
      <c r="W30" s="185"/>
      <c r="X30" s="185"/>
      <c r="Y30" s="189"/>
      <c r="Z30" s="165"/>
      <c r="AA30" s="166"/>
      <c r="AB30" s="167"/>
      <c r="AC30" s="168"/>
      <c r="AD30" s="167"/>
      <c r="AE30" s="188"/>
      <c r="AF30" s="185"/>
      <c r="AG30" s="185"/>
    </row>
    <row r="31" spans="1:44" x14ac:dyDescent="0.2">
      <c r="A31" s="190" t="s">
        <v>559</v>
      </c>
      <c r="B31" s="191" t="s">
        <v>560</v>
      </c>
      <c r="C31" s="181" t="s">
        <v>505</v>
      </c>
      <c r="D31" s="182" t="s">
        <v>505</v>
      </c>
      <c r="E31" s="183" t="s">
        <v>505</v>
      </c>
      <c r="F31" s="184" t="s">
        <v>489</v>
      </c>
      <c r="G31" s="185">
        <v>5</v>
      </c>
      <c r="H31" s="192">
        <v>4335311.3099999996</v>
      </c>
      <c r="I31" s="187"/>
      <c r="J31" s="165"/>
      <c r="K31" s="167"/>
      <c r="L31" s="168"/>
      <c r="M31" s="167"/>
      <c r="N31" s="188"/>
      <c r="O31" s="185"/>
      <c r="P31" s="185"/>
      <c r="Q31" s="167"/>
      <c r="R31" s="165"/>
      <c r="S31" s="167"/>
      <c r="T31" s="168"/>
      <c r="U31" s="167"/>
      <c r="V31" s="188"/>
      <c r="W31" s="185"/>
      <c r="X31" s="185"/>
      <c r="Y31" s="189"/>
      <c r="Z31" s="165"/>
      <c r="AA31" s="166"/>
      <c r="AB31" s="167"/>
      <c r="AC31" s="168"/>
      <c r="AD31" s="167"/>
      <c r="AE31" s="188"/>
      <c r="AF31" s="185"/>
      <c r="AG31" s="185"/>
    </row>
    <row r="32" spans="1:44" x14ac:dyDescent="0.2">
      <c r="A32" s="190" t="s">
        <v>561</v>
      </c>
      <c r="B32" s="191" t="s">
        <v>562</v>
      </c>
      <c r="C32" s="181">
        <v>488</v>
      </c>
      <c r="D32" s="182">
        <v>20368.19701</v>
      </c>
      <c r="E32" s="183">
        <v>706</v>
      </c>
      <c r="F32" s="184" t="s">
        <v>490</v>
      </c>
      <c r="G32" s="185">
        <v>864</v>
      </c>
      <c r="H32" s="192">
        <v>35035684.12289121</v>
      </c>
      <c r="I32" s="187"/>
      <c r="J32" s="165" t="s">
        <v>490</v>
      </c>
      <c r="K32" s="167">
        <v>5</v>
      </c>
      <c r="L32" s="168">
        <v>351110</v>
      </c>
      <c r="M32" s="167">
        <v>7</v>
      </c>
      <c r="N32" s="188" t="s">
        <v>490</v>
      </c>
      <c r="O32" s="185">
        <v>6</v>
      </c>
      <c r="P32" s="185">
        <v>408306.14</v>
      </c>
      <c r="Q32" s="167"/>
      <c r="R32" s="165" t="s">
        <v>490</v>
      </c>
      <c r="S32" s="167">
        <v>2</v>
      </c>
      <c r="T32" s="168">
        <v>21205</v>
      </c>
      <c r="U32" s="167">
        <v>3</v>
      </c>
      <c r="V32" s="188" t="s">
        <v>490</v>
      </c>
      <c r="W32" s="185">
        <v>3</v>
      </c>
      <c r="X32" s="185">
        <v>18571.689999999999</v>
      </c>
      <c r="Y32" s="189"/>
      <c r="Z32" s="165" t="s">
        <v>490</v>
      </c>
      <c r="AA32" s="166" t="s">
        <v>512</v>
      </c>
      <c r="AB32" s="167">
        <v>10</v>
      </c>
      <c r="AC32" s="168">
        <v>644167</v>
      </c>
      <c r="AD32" s="167">
        <v>14</v>
      </c>
      <c r="AE32" s="188" t="s">
        <v>490</v>
      </c>
      <c r="AF32" s="185">
        <v>7</v>
      </c>
      <c r="AG32" s="185">
        <v>186595.26</v>
      </c>
    </row>
    <row r="33" spans="1:33" x14ac:dyDescent="0.2">
      <c r="A33" s="190" t="s">
        <v>563</v>
      </c>
      <c r="B33" s="191" t="s">
        <v>564</v>
      </c>
      <c r="C33" s="181">
        <v>1099</v>
      </c>
      <c r="D33" s="182">
        <v>231875.38677000004</v>
      </c>
      <c r="E33" s="183">
        <v>2606</v>
      </c>
      <c r="F33" s="184" t="s">
        <v>491</v>
      </c>
      <c r="G33" s="185">
        <v>1337</v>
      </c>
      <c r="H33" s="192">
        <v>347730477.4375363</v>
      </c>
      <c r="I33" s="187"/>
      <c r="J33" s="165" t="s">
        <v>491</v>
      </c>
      <c r="K33" s="167">
        <v>6</v>
      </c>
      <c r="L33" s="168">
        <v>675144</v>
      </c>
      <c r="M33" s="167">
        <v>8</v>
      </c>
      <c r="N33" s="188" t="s">
        <v>491</v>
      </c>
      <c r="O33" s="185">
        <v>10</v>
      </c>
      <c r="P33" s="185">
        <v>863529.02</v>
      </c>
      <c r="Q33" s="167"/>
      <c r="R33" s="165" t="s">
        <v>491</v>
      </c>
      <c r="S33" s="167">
        <v>5</v>
      </c>
      <c r="T33" s="168">
        <v>400277</v>
      </c>
      <c r="U33" s="167">
        <v>5</v>
      </c>
      <c r="V33" s="188" t="s">
        <v>491</v>
      </c>
      <c r="W33" s="185">
        <v>3</v>
      </c>
      <c r="X33" s="185">
        <v>404989.11</v>
      </c>
      <c r="Y33" s="189"/>
      <c r="Z33" s="165" t="s">
        <v>491</v>
      </c>
      <c r="AA33" s="166" t="s">
        <v>513</v>
      </c>
      <c r="AB33" s="167">
        <v>8</v>
      </c>
      <c r="AC33" s="168">
        <v>1304431</v>
      </c>
      <c r="AD33" s="167">
        <v>17</v>
      </c>
      <c r="AE33" s="188" t="s">
        <v>491</v>
      </c>
      <c r="AF33" s="185">
        <v>13</v>
      </c>
      <c r="AG33" s="185">
        <v>1652119.74</v>
      </c>
    </row>
    <row r="34" spans="1:33" x14ac:dyDescent="0.2">
      <c r="A34" s="190" t="s">
        <v>565</v>
      </c>
      <c r="B34" s="191" t="s">
        <v>566</v>
      </c>
      <c r="C34" s="181">
        <v>215</v>
      </c>
      <c r="D34" s="182">
        <v>15410.794830000003</v>
      </c>
      <c r="E34" s="183">
        <v>425</v>
      </c>
      <c r="F34" s="184" t="s">
        <v>492</v>
      </c>
      <c r="G34" s="185">
        <v>231</v>
      </c>
      <c r="H34" s="192">
        <v>61104320.18991226</v>
      </c>
      <c r="I34" s="187"/>
      <c r="J34" s="165" t="s">
        <v>492</v>
      </c>
      <c r="K34" s="167">
        <v>3</v>
      </c>
      <c r="L34" s="168">
        <v>52067</v>
      </c>
      <c r="M34" s="167">
        <v>3</v>
      </c>
      <c r="N34" s="188" t="s">
        <v>492</v>
      </c>
      <c r="O34" s="185">
        <v>7</v>
      </c>
      <c r="P34" s="185">
        <v>570398.93999999994</v>
      </c>
      <c r="Q34" s="167"/>
      <c r="R34" s="165" t="s">
        <v>492</v>
      </c>
      <c r="S34" s="167">
        <v>1</v>
      </c>
      <c r="T34" s="168">
        <v>18026</v>
      </c>
      <c r="U34" s="167">
        <v>1</v>
      </c>
      <c r="V34" s="188" t="s">
        <v>492</v>
      </c>
      <c r="W34" s="185">
        <v>1</v>
      </c>
      <c r="X34" s="185">
        <v>19767.88</v>
      </c>
      <c r="Z34" s="165" t="s">
        <v>492</v>
      </c>
      <c r="AA34" s="166" t="s">
        <v>514</v>
      </c>
      <c r="AB34" s="167">
        <v>6</v>
      </c>
      <c r="AC34" s="168">
        <v>29064</v>
      </c>
      <c r="AD34" s="167">
        <v>5</v>
      </c>
      <c r="AE34" s="188" t="s">
        <v>492</v>
      </c>
      <c r="AF34" s="185">
        <v>6</v>
      </c>
      <c r="AG34" s="185">
        <v>80145.154999999999</v>
      </c>
    </row>
    <row r="35" spans="1:33" x14ac:dyDescent="0.2">
      <c r="A35" s="190" t="s">
        <v>567</v>
      </c>
      <c r="B35" s="191" t="s">
        <v>568</v>
      </c>
      <c r="C35" s="181">
        <v>575</v>
      </c>
      <c r="D35" s="182">
        <v>32179.321129999989</v>
      </c>
      <c r="E35" s="183">
        <v>2504</v>
      </c>
      <c r="F35" s="184" t="s">
        <v>493</v>
      </c>
      <c r="G35" s="185">
        <v>617</v>
      </c>
      <c r="H35" s="192">
        <v>48002564.855984844</v>
      </c>
      <c r="I35" s="187"/>
      <c r="J35" s="165" t="s">
        <v>493</v>
      </c>
      <c r="K35" s="167">
        <v>4</v>
      </c>
      <c r="L35" s="168">
        <v>506152</v>
      </c>
      <c r="M35" s="167">
        <v>10</v>
      </c>
      <c r="N35" s="188" t="s">
        <v>493</v>
      </c>
      <c r="O35" s="185">
        <v>10</v>
      </c>
      <c r="P35" s="185">
        <v>977071.07</v>
      </c>
      <c r="Q35" s="167"/>
      <c r="R35" s="165" t="s">
        <v>493</v>
      </c>
      <c r="S35" s="167">
        <v>6</v>
      </c>
      <c r="T35" s="168">
        <v>379935</v>
      </c>
      <c r="U35" s="167">
        <v>8</v>
      </c>
      <c r="V35" s="188" t="s">
        <v>493</v>
      </c>
      <c r="W35" s="185">
        <v>12</v>
      </c>
      <c r="X35" s="185">
        <v>439995.86</v>
      </c>
      <c r="Z35" s="165" t="s">
        <v>493</v>
      </c>
      <c r="AA35" s="166" t="s">
        <v>515</v>
      </c>
      <c r="AB35" s="167">
        <v>29</v>
      </c>
      <c r="AC35" s="168">
        <v>1225613</v>
      </c>
      <c r="AD35" s="167">
        <v>89</v>
      </c>
      <c r="AE35" s="188" t="s">
        <v>493</v>
      </c>
      <c r="AF35" s="185">
        <v>33</v>
      </c>
      <c r="AG35" s="185">
        <v>1082000.4139672928</v>
      </c>
    </row>
    <row r="36" spans="1:33" x14ac:dyDescent="0.2">
      <c r="A36" s="190" t="s">
        <v>569</v>
      </c>
      <c r="B36" s="191" t="s">
        <v>570</v>
      </c>
      <c r="C36" s="181">
        <v>64</v>
      </c>
      <c r="D36" s="182">
        <v>8925.8317300000017</v>
      </c>
      <c r="E36" s="183">
        <v>182</v>
      </c>
      <c r="F36" s="184" t="s">
        <v>494</v>
      </c>
      <c r="G36" s="185">
        <v>69</v>
      </c>
      <c r="H36" s="192">
        <v>3793585.45</v>
      </c>
      <c r="I36" s="187"/>
      <c r="J36" s="165"/>
      <c r="K36" s="167"/>
      <c r="L36" s="168"/>
      <c r="M36" s="167"/>
      <c r="N36" s="188" t="s">
        <v>494</v>
      </c>
      <c r="O36" s="185">
        <v>1</v>
      </c>
      <c r="P36" s="185">
        <v>199000</v>
      </c>
      <c r="Q36" s="167"/>
      <c r="R36" s="165"/>
      <c r="S36" s="167"/>
      <c r="T36" s="168"/>
      <c r="U36" s="167"/>
      <c r="V36" s="188"/>
      <c r="W36" s="185"/>
      <c r="X36" s="185"/>
      <c r="Z36" s="165"/>
      <c r="AA36" s="166"/>
      <c r="AB36" s="167"/>
      <c r="AC36" s="168"/>
      <c r="AD36" s="167"/>
      <c r="AE36" s="188"/>
      <c r="AF36" s="185"/>
      <c r="AG36" s="185"/>
    </row>
    <row r="37" spans="1:33" x14ac:dyDescent="0.2">
      <c r="A37" s="190" t="s">
        <v>571</v>
      </c>
      <c r="B37" s="191" t="s">
        <v>572</v>
      </c>
      <c r="C37" s="181">
        <v>89</v>
      </c>
      <c r="D37" s="182">
        <v>2503.7990899999995</v>
      </c>
      <c r="E37" s="183">
        <v>145</v>
      </c>
      <c r="F37" s="184" t="s">
        <v>495</v>
      </c>
      <c r="G37" s="185">
        <v>17</v>
      </c>
      <c r="H37" s="192">
        <v>790351.97</v>
      </c>
      <c r="I37" s="187"/>
      <c r="J37" s="165"/>
      <c r="K37" s="167"/>
      <c r="L37" s="168"/>
      <c r="M37" s="167"/>
      <c r="N37" s="188"/>
      <c r="O37" s="185"/>
      <c r="P37" s="185"/>
      <c r="Q37" s="167"/>
      <c r="R37" s="165" t="s">
        <v>495</v>
      </c>
      <c r="S37" s="167">
        <v>2</v>
      </c>
      <c r="T37" s="168">
        <v>9848</v>
      </c>
      <c r="U37" s="167">
        <v>2</v>
      </c>
      <c r="V37" s="188" t="s">
        <v>495</v>
      </c>
      <c r="W37" s="185">
        <v>1</v>
      </c>
      <c r="X37" s="185">
        <v>9271</v>
      </c>
      <c r="Z37" s="165"/>
      <c r="AA37" s="166"/>
      <c r="AB37" s="167"/>
      <c r="AC37" s="168"/>
      <c r="AD37" s="167"/>
      <c r="AE37" s="188"/>
      <c r="AF37" s="185"/>
      <c r="AG37" s="185"/>
    </row>
    <row r="38" spans="1:33" x14ac:dyDescent="0.2">
      <c r="A38" s="190" t="s">
        <v>573</v>
      </c>
      <c r="B38" s="191" t="s">
        <v>574</v>
      </c>
      <c r="C38" s="181">
        <v>30</v>
      </c>
      <c r="D38" s="182">
        <v>1323.3955900000001</v>
      </c>
      <c r="E38" s="183">
        <v>45</v>
      </c>
      <c r="F38" s="184" t="s">
        <v>496</v>
      </c>
      <c r="G38" s="185">
        <v>46</v>
      </c>
      <c r="H38" s="192">
        <v>2484340.39</v>
      </c>
      <c r="I38" s="187"/>
      <c r="J38" s="165" t="s">
        <v>496</v>
      </c>
      <c r="K38" s="167">
        <v>1</v>
      </c>
      <c r="L38" s="167">
        <v>0</v>
      </c>
      <c r="M38" s="167">
        <v>0</v>
      </c>
      <c r="N38" s="188" t="s">
        <v>496</v>
      </c>
      <c r="O38" s="185">
        <v>1</v>
      </c>
      <c r="P38" s="185">
        <v>151884.22</v>
      </c>
      <c r="Q38" s="167"/>
      <c r="R38" s="165"/>
      <c r="S38" s="167"/>
      <c r="T38" s="168"/>
      <c r="U38" s="167"/>
      <c r="V38" s="170"/>
      <c r="W38" s="170"/>
      <c r="Z38" s="165"/>
      <c r="AA38" s="166"/>
      <c r="AB38" s="167"/>
      <c r="AC38" s="168"/>
      <c r="AD38" s="167"/>
      <c r="AE38" s="188"/>
      <c r="AF38" s="185"/>
      <c r="AG38" s="185"/>
    </row>
    <row r="39" spans="1:33" x14ac:dyDescent="0.2">
      <c r="A39" s="190" t="s">
        <v>575</v>
      </c>
      <c r="B39" s="191" t="s">
        <v>576</v>
      </c>
      <c r="C39" s="181">
        <v>540</v>
      </c>
      <c r="D39" s="182">
        <v>17038.923599999998</v>
      </c>
      <c r="E39" s="183">
        <v>780</v>
      </c>
      <c r="F39" s="184" t="s">
        <v>497</v>
      </c>
      <c r="G39" s="185">
        <v>548</v>
      </c>
      <c r="H39" s="192">
        <v>22640820.108355708</v>
      </c>
      <c r="I39" s="187"/>
      <c r="J39" s="165" t="s">
        <v>497</v>
      </c>
      <c r="K39" s="167">
        <v>3</v>
      </c>
      <c r="L39" s="168">
        <v>50459</v>
      </c>
      <c r="M39" s="167">
        <v>4</v>
      </c>
      <c r="N39" s="188" t="s">
        <v>497</v>
      </c>
      <c r="O39" s="185">
        <v>1</v>
      </c>
      <c r="P39" s="185">
        <v>40827.1</v>
      </c>
      <c r="Q39" s="167"/>
      <c r="R39" s="165"/>
      <c r="S39" s="167"/>
      <c r="T39" s="168"/>
      <c r="U39" s="167"/>
      <c r="V39" s="170"/>
      <c r="W39" s="170"/>
      <c r="Z39" s="165" t="s">
        <v>497</v>
      </c>
      <c r="AA39" s="166" t="s">
        <v>519</v>
      </c>
      <c r="AB39" s="167">
        <v>1</v>
      </c>
      <c r="AC39" s="168">
        <v>24260</v>
      </c>
      <c r="AD39" s="167">
        <v>1</v>
      </c>
      <c r="AE39" s="188" t="s">
        <v>497</v>
      </c>
      <c r="AF39" s="185">
        <v>1</v>
      </c>
      <c r="AG39" s="185">
        <v>6000</v>
      </c>
    </row>
    <row r="40" spans="1:33" x14ac:dyDescent="0.2">
      <c r="A40" s="190" t="s">
        <v>577</v>
      </c>
      <c r="B40" s="191" t="s">
        <v>578</v>
      </c>
      <c r="C40" s="181">
        <v>118</v>
      </c>
      <c r="D40" s="182">
        <v>4236.287800000001</v>
      </c>
      <c r="E40" s="183">
        <v>201</v>
      </c>
      <c r="F40" s="184" t="s">
        <v>498</v>
      </c>
      <c r="G40" s="185">
        <v>123</v>
      </c>
      <c r="H40" s="192">
        <v>8202142.9621149674</v>
      </c>
      <c r="I40" s="187"/>
      <c r="J40" s="165" t="s">
        <v>498</v>
      </c>
      <c r="K40" s="167">
        <v>1</v>
      </c>
      <c r="L40" s="168">
        <v>13800</v>
      </c>
      <c r="M40" s="167">
        <v>1</v>
      </c>
      <c r="N40" s="188" t="s">
        <v>498</v>
      </c>
      <c r="O40" s="185">
        <v>1</v>
      </c>
      <c r="P40" s="185">
        <v>8620.7000000000007</v>
      </c>
      <c r="Q40" s="167"/>
      <c r="R40" s="165"/>
      <c r="S40" s="167"/>
      <c r="T40" s="168"/>
      <c r="U40" s="167"/>
      <c r="V40" s="170"/>
      <c r="W40" s="170"/>
      <c r="Z40" s="165" t="s">
        <v>498</v>
      </c>
      <c r="AA40" s="166" t="s">
        <v>520</v>
      </c>
      <c r="AB40" s="167">
        <v>2</v>
      </c>
      <c r="AC40" s="168">
        <v>93737</v>
      </c>
      <c r="AD40" s="167">
        <v>5</v>
      </c>
      <c r="AE40" s="188" t="s">
        <v>498</v>
      </c>
      <c r="AF40" s="185">
        <v>5</v>
      </c>
      <c r="AG40" s="185">
        <v>65563.841249132427</v>
      </c>
    </row>
    <row r="41" spans="1:33" x14ac:dyDescent="0.2">
      <c r="A41" s="190" t="s">
        <v>579</v>
      </c>
      <c r="B41" s="191" t="s">
        <v>580</v>
      </c>
      <c r="C41" s="181" t="s">
        <v>505</v>
      </c>
      <c r="D41" s="182" t="s">
        <v>505</v>
      </c>
      <c r="E41" s="183" t="s">
        <v>505</v>
      </c>
      <c r="F41" s="184" t="s">
        <v>499</v>
      </c>
      <c r="G41" s="185">
        <v>9</v>
      </c>
      <c r="H41" s="192">
        <v>717125.37</v>
      </c>
      <c r="I41" s="187"/>
      <c r="J41" s="165" t="s">
        <v>499</v>
      </c>
      <c r="K41" s="167">
        <v>1</v>
      </c>
      <c r="L41" s="167">
        <v>0</v>
      </c>
      <c r="M41" s="167">
        <v>20</v>
      </c>
      <c r="N41" s="188"/>
      <c r="O41" s="185"/>
      <c r="P41" s="185"/>
      <c r="Q41" s="167"/>
      <c r="R41" s="165" t="s">
        <v>499</v>
      </c>
      <c r="S41" s="167">
        <v>1</v>
      </c>
      <c r="T41" s="168">
        <v>2337</v>
      </c>
      <c r="U41" s="167">
        <v>20</v>
      </c>
      <c r="V41" s="170"/>
      <c r="W41" s="170"/>
      <c r="Z41" s="165" t="s">
        <v>499</v>
      </c>
      <c r="AA41" s="166" t="s">
        <v>521</v>
      </c>
      <c r="AB41" s="167">
        <v>1</v>
      </c>
      <c r="AC41" s="169"/>
      <c r="AD41" s="167">
        <v>16</v>
      </c>
      <c r="AE41" s="188" t="s">
        <v>499</v>
      </c>
      <c r="AF41" s="185">
        <v>1</v>
      </c>
      <c r="AG41" s="185">
        <v>16010</v>
      </c>
    </row>
    <row r="42" spans="1:33" x14ac:dyDescent="0.2">
      <c r="A42" s="190" t="s">
        <v>581</v>
      </c>
      <c r="B42" s="191" t="s">
        <v>582</v>
      </c>
      <c r="C42" s="181">
        <v>123</v>
      </c>
      <c r="D42" s="182">
        <v>1968.2833700000003</v>
      </c>
      <c r="E42" s="183">
        <v>1709</v>
      </c>
      <c r="F42" s="184" t="s">
        <v>500</v>
      </c>
      <c r="G42" s="185">
        <v>40</v>
      </c>
      <c r="H42" s="192">
        <v>1169185.8600000001</v>
      </c>
      <c r="I42" s="187"/>
      <c r="J42" s="165" t="s">
        <v>500</v>
      </c>
      <c r="K42" s="167">
        <v>2</v>
      </c>
      <c r="L42" s="169"/>
      <c r="M42" s="167">
        <v>2</v>
      </c>
      <c r="N42" s="188"/>
      <c r="O42" s="185"/>
      <c r="P42" s="185"/>
      <c r="Q42" s="167"/>
      <c r="R42" s="165" t="s">
        <v>500</v>
      </c>
      <c r="S42" s="167">
        <v>1</v>
      </c>
      <c r="T42" s="169"/>
      <c r="U42" s="167">
        <v>1</v>
      </c>
      <c r="V42" s="170"/>
      <c r="W42" s="170"/>
      <c r="Z42" s="165"/>
      <c r="AA42" s="166"/>
      <c r="AB42" s="167"/>
      <c r="AC42" s="169"/>
      <c r="AD42" s="167"/>
      <c r="AE42" s="193"/>
      <c r="AF42" s="194"/>
      <c r="AG42" s="195"/>
    </row>
    <row r="43" spans="1:33" x14ac:dyDescent="0.2">
      <c r="A43" s="190" t="s">
        <v>583</v>
      </c>
      <c r="B43" s="191" t="s">
        <v>584</v>
      </c>
      <c r="C43" s="181">
        <v>235</v>
      </c>
      <c r="D43" s="182">
        <v>12393.721960000001</v>
      </c>
      <c r="E43" s="183">
        <v>1094</v>
      </c>
      <c r="F43" s="184" t="s">
        <v>501</v>
      </c>
      <c r="G43" s="185">
        <v>23</v>
      </c>
      <c r="H43" s="192">
        <v>1542293.12</v>
      </c>
      <c r="I43" s="196"/>
      <c r="N43" s="188" t="s">
        <v>502</v>
      </c>
      <c r="O43" s="185">
        <v>1</v>
      </c>
      <c r="P43" s="185">
        <v>0</v>
      </c>
      <c r="R43" s="165" t="s">
        <v>501</v>
      </c>
      <c r="S43" s="167">
        <v>1</v>
      </c>
      <c r="T43" s="169"/>
      <c r="U43" s="167">
        <v>1</v>
      </c>
      <c r="V43" s="170"/>
      <c r="W43" s="170"/>
      <c r="Z43" s="165"/>
      <c r="AA43" s="166"/>
      <c r="AB43" s="167"/>
      <c r="AC43" s="169"/>
      <c r="AD43" s="167"/>
    </row>
    <row r="44" spans="1:33" x14ac:dyDescent="0.2">
      <c r="A44" s="190" t="s">
        <v>585</v>
      </c>
      <c r="B44" s="191" t="s">
        <v>586</v>
      </c>
      <c r="C44" s="181">
        <v>97</v>
      </c>
      <c r="D44" s="182">
        <v>1222.4722099999999</v>
      </c>
      <c r="E44" s="183">
        <v>190</v>
      </c>
      <c r="F44" s="184" t="s">
        <v>502</v>
      </c>
      <c r="G44" s="185">
        <v>84</v>
      </c>
      <c r="H44" s="192">
        <v>1790040.2849999999</v>
      </c>
      <c r="I44" s="187"/>
      <c r="J44" s="165" t="s">
        <v>502</v>
      </c>
      <c r="K44" s="167">
        <v>1</v>
      </c>
      <c r="L44" s="169"/>
      <c r="M44" s="167">
        <v>2</v>
      </c>
      <c r="N44" s="167"/>
      <c r="O44" s="167"/>
      <c r="P44" s="167"/>
      <c r="Q44" s="167"/>
      <c r="R44" s="165" t="s">
        <v>502</v>
      </c>
      <c r="S44" s="167">
        <v>1</v>
      </c>
      <c r="T44" s="168">
        <v>27298</v>
      </c>
      <c r="U44" s="167">
        <v>3</v>
      </c>
      <c r="V44" s="170"/>
      <c r="W44" s="170"/>
      <c r="Z44" s="165"/>
      <c r="AA44" s="166"/>
      <c r="AB44" s="167"/>
      <c r="AC44" s="169"/>
      <c r="AD44" s="167"/>
    </row>
    <row r="45" spans="1:33" x14ac:dyDescent="0.2">
      <c r="A45" s="190" t="s">
        <v>587</v>
      </c>
      <c r="B45" s="191" t="s">
        <v>588</v>
      </c>
      <c r="C45" s="181">
        <v>197</v>
      </c>
      <c r="D45" s="182">
        <v>3280.9855800000005</v>
      </c>
      <c r="E45" s="183">
        <v>488</v>
      </c>
      <c r="F45" s="184" t="s">
        <v>503</v>
      </c>
      <c r="G45" s="185">
        <v>152</v>
      </c>
      <c r="H45" s="192">
        <v>4631087.3449999988</v>
      </c>
      <c r="I45" s="187"/>
      <c r="J45" s="165" t="s">
        <v>503</v>
      </c>
      <c r="K45" s="167">
        <v>2</v>
      </c>
      <c r="L45" s="168">
        <v>535856</v>
      </c>
      <c r="M45" s="167">
        <v>3</v>
      </c>
      <c r="N45" s="167"/>
      <c r="O45" s="167"/>
      <c r="P45" s="167"/>
      <c r="Q45" s="167"/>
      <c r="R45" s="165"/>
      <c r="S45" s="167"/>
      <c r="T45" s="168"/>
      <c r="U45" s="167"/>
      <c r="V45" s="170"/>
      <c r="W45" s="170"/>
      <c r="Z45" s="165" t="s">
        <v>503</v>
      </c>
      <c r="AA45" s="166" t="s">
        <v>525</v>
      </c>
      <c r="AB45" s="167">
        <v>1</v>
      </c>
      <c r="AC45" s="167">
        <v>800</v>
      </c>
      <c r="AD45" s="167">
        <v>1</v>
      </c>
    </row>
    <row r="46" spans="1:33" x14ac:dyDescent="0.2">
      <c r="A46" s="197" t="s">
        <v>589</v>
      </c>
      <c r="B46" s="198" t="s">
        <v>590</v>
      </c>
      <c r="C46" s="181">
        <v>27</v>
      </c>
      <c r="D46" s="182">
        <v>17.19454</v>
      </c>
      <c r="E46" s="183">
        <v>53</v>
      </c>
      <c r="F46" s="184" t="s">
        <v>504</v>
      </c>
      <c r="G46" s="185">
        <v>37</v>
      </c>
      <c r="H46" s="192">
        <v>152642.98500000002</v>
      </c>
      <c r="I46" s="187"/>
      <c r="J46" s="165" t="s">
        <v>504</v>
      </c>
      <c r="K46" s="167">
        <v>2</v>
      </c>
      <c r="L46" s="168">
        <v>11714</v>
      </c>
      <c r="M46" s="167">
        <v>2</v>
      </c>
      <c r="N46" s="167"/>
      <c r="O46" s="167"/>
      <c r="P46" s="167"/>
      <c r="Q46" s="167"/>
      <c r="R46" s="165" t="s">
        <v>504</v>
      </c>
      <c r="S46" s="167">
        <v>1</v>
      </c>
      <c r="T46" s="167">
        <v>50</v>
      </c>
      <c r="U46" s="169"/>
      <c r="V46" s="170"/>
      <c r="W46" s="170"/>
    </row>
    <row r="47" spans="1:33" x14ac:dyDescent="0.2">
      <c r="V47" s="170"/>
      <c r="W47" s="170"/>
    </row>
    <row r="48" spans="1:33" x14ac:dyDescent="0.2">
      <c r="N48" s="199"/>
      <c r="O48" s="199"/>
      <c r="P48" s="167"/>
      <c r="V48" s="170"/>
      <c r="W48" s="170"/>
    </row>
    <row r="49" spans="1:21" x14ac:dyDescent="0.2">
      <c r="B49" s="205"/>
      <c r="C49" s="205" t="s">
        <v>594</v>
      </c>
      <c r="D49" s="205" t="s">
        <v>595</v>
      </c>
      <c r="E49" s="205" t="s">
        <v>597</v>
      </c>
      <c r="F49" s="206" t="s">
        <v>596</v>
      </c>
      <c r="G49" s="206" t="s">
        <v>592</v>
      </c>
      <c r="H49" s="205" t="s">
        <v>598</v>
      </c>
      <c r="I49" s="205" t="s">
        <v>174</v>
      </c>
      <c r="J49" s="205" t="s">
        <v>599</v>
      </c>
      <c r="K49" s="205" t="s">
        <v>438</v>
      </c>
      <c r="L49" s="167" t="s">
        <v>600</v>
      </c>
      <c r="M49" s="205" t="s">
        <v>593</v>
      </c>
      <c r="N49" s="167" t="s">
        <v>601</v>
      </c>
      <c r="T49" s="170"/>
      <c r="U49" s="170"/>
    </row>
    <row r="50" spans="1:21" ht="36" x14ac:dyDescent="0.2">
      <c r="A50" s="200" t="s">
        <v>591</v>
      </c>
      <c r="B50" s="207" t="s">
        <v>389</v>
      </c>
      <c r="C50" s="138">
        <v>3986515</v>
      </c>
      <c r="D50" s="209">
        <v>4621511</v>
      </c>
      <c r="E50" s="138">
        <v>18009</v>
      </c>
      <c r="F50" s="211">
        <v>15369</v>
      </c>
      <c r="G50" s="138">
        <v>221</v>
      </c>
      <c r="H50" s="205">
        <v>71</v>
      </c>
      <c r="I50" s="138">
        <v>119</v>
      </c>
      <c r="J50" s="205">
        <v>59</v>
      </c>
      <c r="K50" s="138">
        <v>232</v>
      </c>
      <c r="L50" s="205">
        <f>SUM(L51:L69)</f>
        <v>159</v>
      </c>
      <c r="M50" s="138">
        <v>56578</v>
      </c>
      <c r="N50" s="205">
        <v>65548</v>
      </c>
      <c r="T50" s="201"/>
      <c r="U50" s="201"/>
    </row>
    <row r="51" spans="1:21" x14ac:dyDescent="0.2">
      <c r="A51" s="202" t="s">
        <v>551</v>
      </c>
      <c r="B51" s="208" t="s">
        <v>552</v>
      </c>
      <c r="C51" s="138">
        <v>357268</v>
      </c>
      <c r="D51" s="210">
        <v>290772</v>
      </c>
      <c r="E51" s="138">
        <v>1750</v>
      </c>
      <c r="F51" s="212">
        <v>1894</v>
      </c>
      <c r="G51" s="138">
        <v>25</v>
      </c>
      <c r="H51" s="167">
        <v>7</v>
      </c>
      <c r="I51" s="138">
        <v>19</v>
      </c>
      <c r="J51" s="167">
        <v>13</v>
      </c>
      <c r="K51" s="138">
        <v>10</v>
      </c>
      <c r="L51" s="167">
        <v>8</v>
      </c>
      <c r="M51" s="138">
        <v>1265</v>
      </c>
      <c r="N51" s="212">
        <v>591</v>
      </c>
    </row>
    <row r="52" spans="1:21" x14ac:dyDescent="0.2">
      <c r="A52" s="203" t="s">
        <v>553</v>
      </c>
      <c r="B52" s="208" t="s">
        <v>554</v>
      </c>
      <c r="C52" s="138">
        <v>6853</v>
      </c>
      <c r="D52" s="210">
        <v>6174</v>
      </c>
      <c r="E52" s="138">
        <v>12</v>
      </c>
      <c r="F52" s="211" t="s">
        <v>505</v>
      </c>
      <c r="G52" s="138">
        <v>0</v>
      </c>
      <c r="H52" s="167"/>
      <c r="I52" s="138">
        <v>0</v>
      </c>
      <c r="J52" s="167"/>
      <c r="K52" s="138">
        <v>0</v>
      </c>
      <c r="L52" s="167"/>
      <c r="M52" s="138">
        <v>49</v>
      </c>
      <c r="N52" s="211" t="s">
        <v>505</v>
      </c>
    </row>
    <row r="53" spans="1:21" x14ac:dyDescent="0.2">
      <c r="A53" s="203" t="s">
        <v>555</v>
      </c>
      <c r="B53" s="208" t="s">
        <v>556</v>
      </c>
      <c r="C53" s="138">
        <v>355813</v>
      </c>
      <c r="D53" s="210">
        <v>381529</v>
      </c>
      <c r="E53" s="138">
        <v>843</v>
      </c>
      <c r="F53" s="212">
        <v>834</v>
      </c>
      <c r="G53" s="138">
        <v>6</v>
      </c>
      <c r="H53" s="167">
        <v>2</v>
      </c>
      <c r="I53" s="138">
        <v>3</v>
      </c>
      <c r="J53" s="167">
        <v>1</v>
      </c>
      <c r="K53" s="138">
        <v>8</v>
      </c>
      <c r="L53" s="167">
        <v>3</v>
      </c>
      <c r="M53" s="138">
        <v>2005</v>
      </c>
      <c r="N53" s="212">
        <v>1921</v>
      </c>
    </row>
    <row r="54" spans="1:21" x14ac:dyDescent="0.2">
      <c r="A54" s="203" t="s">
        <v>557</v>
      </c>
      <c r="B54" s="208" t="s">
        <v>558</v>
      </c>
      <c r="C54" s="138">
        <v>25880</v>
      </c>
      <c r="D54" s="210">
        <v>31162</v>
      </c>
      <c r="E54" s="138">
        <v>121</v>
      </c>
      <c r="F54" s="212">
        <v>66</v>
      </c>
      <c r="G54" s="138">
        <v>4</v>
      </c>
      <c r="H54" s="167"/>
      <c r="I54" s="138">
        <v>3</v>
      </c>
      <c r="J54" s="167"/>
      <c r="K54" s="138">
        <v>3</v>
      </c>
      <c r="L54" s="167"/>
      <c r="M54" s="138">
        <v>364</v>
      </c>
      <c r="N54" s="212">
        <v>119</v>
      </c>
    </row>
    <row r="55" spans="1:21" x14ac:dyDescent="0.2">
      <c r="A55" s="203" t="s">
        <v>559</v>
      </c>
      <c r="B55" s="208" t="s">
        <v>560</v>
      </c>
      <c r="C55" s="138">
        <v>28148</v>
      </c>
      <c r="D55" s="210">
        <v>17841</v>
      </c>
      <c r="E55" s="138">
        <v>173</v>
      </c>
      <c r="F55" s="212">
        <v>29</v>
      </c>
      <c r="G55" s="138">
        <v>6</v>
      </c>
      <c r="H55" s="167"/>
      <c r="I55" s="138">
        <v>3</v>
      </c>
      <c r="J55" s="167"/>
      <c r="K55" s="138">
        <v>8</v>
      </c>
      <c r="L55" s="167"/>
      <c r="M55" s="138">
        <v>467</v>
      </c>
      <c r="N55" s="212">
        <v>251</v>
      </c>
    </row>
    <row r="56" spans="1:21" x14ac:dyDescent="0.2">
      <c r="A56" s="203" t="s">
        <v>561</v>
      </c>
      <c r="B56" s="208" t="s">
        <v>562</v>
      </c>
      <c r="C56" s="138">
        <v>184763</v>
      </c>
      <c r="D56" s="210">
        <v>171400</v>
      </c>
      <c r="E56" s="138">
        <v>1067</v>
      </c>
      <c r="F56" s="212">
        <v>706</v>
      </c>
      <c r="G56" s="138">
        <v>14</v>
      </c>
      <c r="H56" s="167">
        <v>7</v>
      </c>
      <c r="I56" s="138">
        <v>5</v>
      </c>
      <c r="J56" s="167">
        <v>3</v>
      </c>
      <c r="K56" s="138">
        <v>14</v>
      </c>
      <c r="L56" s="167">
        <v>14</v>
      </c>
      <c r="M56" s="138">
        <v>2640</v>
      </c>
      <c r="N56" s="212">
        <v>3186</v>
      </c>
    </row>
    <row r="57" spans="1:21" x14ac:dyDescent="0.2">
      <c r="A57" s="203" t="s">
        <v>563</v>
      </c>
      <c r="B57" s="208" t="s">
        <v>564</v>
      </c>
      <c r="C57" s="138">
        <v>719760</v>
      </c>
      <c r="D57" s="210">
        <v>823788</v>
      </c>
      <c r="E57" s="138">
        <v>2788</v>
      </c>
      <c r="F57" s="212">
        <v>2685</v>
      </c>
      <c r="G57" s="138">
        <v>20</v>
      </c>
      <c r="H57" s="167">
        <v>8</v>
      </c>
      <c r="I57" s="138">
        <v>5</v>
      </c>
      <c r="J57" s="167">
        <v>5</v>
      </c>
      <c r="K57" s="138">
        <v>22</v>
      </c>
      <c r="L57" s="167">
        <v>17</v>
      </c>
      <c r="M57" s="138">
        <v>9340</v>
      </c>
      <c r="N57" s="212">
        <v>9829</v>
      </c>
    </row>
    <row r="58" spans="1:21" x14ac:dyDescent="0.2">
      <c r="A58" s="203" t="s">
        <v>565</v>
      </c>
      <c r="B58" s="208" t="s">
        <v>566</v>
      </c>
      <c r="C58" s="138">
        <v>210180</v>
      </c>
      <c r="D58" s="210">
        <v>192842</v>
      </c>
      <c r="E58" s="138">
        <v>1520</v>
      </c>
      <c r="F58" s="212">
        <v>412</v>
      </c>
      <c r="G58" s="138">
        <v>53</v>
      </c>
      <c r="H58" s="167">
        <v>3</v>
      </c>
      <c r="I58" s="138">
        <v>31</v>
      </c>
      <c r="J58" s="167">
        <v>1</v>
      </c>
      <c r="K58" s="138">
        <v>11</v>
      </c>
      <c r="L58" s="167">
        <v>5</v>
      </c>
      <c r="M58" s="138">
        <v>2443</v>
      </c>
      <c r="N58" s="212">
        <v>1756</v>
      </c>
    </row>
    <row r="59" spans="1:21" x14ac:dyDescent="0.2">
      <c r="A59" s="203" t="s">
        <v>567</v>
      </c>
      <c r="B59" s="208" t="s">
        <v>568</v>
      </c>
      <c r="C59" s="138">
        <v>437234</v>
      </c>
      <c r="D59" s="210">
        <v>707864</v>
      </c>
      <c r="E59" s="138">
        <v>1792</v>
      </c>
      <c r="F59" s="212">
        <v>2866</v>
      </c>
      <c r="G59" s="138">
        <v>16</v>
      </c>
      <c r="H59" s="167">
        <v>10</v>
      </c>
      <c r="I59" s="138">
        <v>11</v>
      </c>
      <c r="J59" s="167">
        <v>8</v>
      </c>
      <c r="K59" s="138">
        <v>42</v>
      </c>
      <c r="L59" s="167">
        <v>89</v>
      </c>
      <c r="M59" s="138">
        <v>19879</v>
      </c>
      <c r="N59" s="212">
        <v>28999</v>
      </c>
    </row>
    <row r="60" spans="1:21" x14ac:dyDescent="0.2">
      <c r="A60" s="203" t="s">
        <v>569</v>
      </c>
      <c r="B60" s="208" t="s">
        <v>570</v>
      </c>
      <c r="C60" s="138">
        <v>103054</v>
      </c>
      <c r="D60" s="210">
        <v>108953</v>
      </c>
      <c r="E60" s="138">
        <v>159</v>
      </c>
      <c r="F60" s="212">
        <v>135</v>
      </c>
      <c r="G60" s="138">
        <v>3</v>
      </c>
      <c r="H60" s="167"/>
      <c r="I60" s="138">
        <v>0</v>
      </c>
      <c r="J60" s="167"/>
      <c r="K60" s="138">
        <v>0</v>
      </c>
      <c r="L60" s="167"/>
      <c r="M60" s="138">
        <v>461</v>
      </c>
      <c r="N60" s="212">
        <v>462</v>
      </c>
    </row>
    <row r="61" spans="1:21" x14ac:dyDescent="0.2">
      <c r="A61" s="203" t="s">
        <v>571</v>
      </c>
      <c r="B61" s="208" t="s">
        <v>572</v>
      </c>
      <c r="C61" s="138">
        <v>76562</v>
      </c>
      <c r="D61" s="210">
        <v>78201</v>
      </c>
      <c r="E61" s="138">
        <v>237</v>
      </c>
      <c r="F61" s="212">
        <v>148</v>
      </c>
      <c r="G61" s="138">
        <v>5</v>
      </c>
      <c r="H61" s="167"/>
      <c r="I61" s="138">
        <v>0</v>
      </c>
      <c r="J61" s="167">
        <v>2</v>
      </c>
      <c r="K61" s="138">
        <v>6</v>
      </c>
      <c r="L61" s="167"/>
      <c r="M61" s="138">
        <v>437</v>
      </c>
      <c r="N61" s="212">
        <v>257</v>
      </c>
    </row>
    <row r="62" spans="1:21" x14ac:dyDescent="0.2">
      <c r="A62" s="203" t="s">
        <v>573</v>
      </c>
      <c r="B62" s="208" t="s">
        <v>574</v>
      </c>
      <c r="C62" s="138">
        <v>13437</v>
      </c>
      <c r="D62" s="210">
        <v>30357</v>
      </c>
      <c r="E62" s="138">
        <v>29</v>
      </c>
      <c r="F62" s="212">
        <v>72</v>
      </c>
      <c r="G62" s="138">
        <v>0</v>
      </c>
      <c r="H62" s="167">
        <v>0</v>
      </c>
      <c r="I62" s="138">
        <v>0</v>
      </c>
      <c r="J62" s="167"/>
      <c r="K62" s="138">
        <v>0</v>
      </c>
      <c r="L62" s="167"/>
      <c r="M62" s="138">
        <v>86</v>
      </c>
      <c r="N62" s="212">
        <v>666</v>
      </c>
    </row>
    <row r="63" spans="1:21" x14ac:dyDescent="0.2">
      <c r="A63" s="203" t="s">
        <v>575</v>
      </c>
      <c r="B63" s="208" t="s">
        <v>576</v>
      </c>
      <c r="C63" s="138">
        <v>254447</v>
      </c>
      <c r="D63" s="210">
        <v>296480</v>
      </c>
      <c r="E63" s="138">
        <v>872</v>
      </c>
      <c r="F63" s="212">
        <v>841</v>
      </c>
      <c r="G63" s="138">
        <v>11</v>
      </c>
      <c r="H63" s="167">
        <v>4</v>
      </c>
      <c r="I63" s="138">
        <v>4</v>
      </c>
      <c r="J63" s="167"/>
      <c r="K63" s="138">
        <v>3</v>
      </c>
      <c r="L63" s="167">
        <v>1</v>
      </c>
      <c r="M63" s="138">
        <v>2288</v>
      </c>
      <c r="N63" s="212">
        <v>2532</v>
      </c>
    </row>
    <row r="64" spans="1:21" x14ac:dyDescent="0.2">
      <c r="A64" s="203" t="s">
        <v>577</v>
      </c>
      <c r="B64" s="208" t="s">
        <v>578</v>
      </c>
      <c r="C64" s="138">
        <v>124506</v>
      </c>
      <c r="D64" s="210">
        <v>185565</v>
      </c>
      <c r="E64" s="138">
        <v>283</v>
      </c>
      <c r="F64" s="212">
        <v>273</v>
      </c>
      <c r="G64" s="138">
        <v>3</v>
      </c>
      <c r="H64" s="167">
        <v>1</v>
      </c>
      <c r="I64" s="138">
        <v>0</v>
      </c>
      <c r="J64" s="167"/>
      <c r="K64" s="138">
        <v>4</v>
      </c>
      <c r="L64" s="167">
        <v>5</v>
      </c>
      <c r="M64" s="138">
        <v>2201</v>
      </c>
      <c r="N64" s="212">
        <v>2247</v>
      </c>
    </row>
    <row r="65" spans="1:14" x14ac:dyDescent="0.2">
      <c r="A65" s="203" t="s">
        <v>579</v>
      </c>
      <c r="B65" s="208" t="s">
        <v>580</v>
      </c>
      <c r="C65" s="138">
        <v>348064</v>
      </c>
      <c r="D65" s="210">
        <v>413756</v>
      </c>
      <c r="E65" s="138">
        <v>2987</v>
      </c>
      <c r="F65" s="211" t="s">
        <v>505</v>
      </c>
      <c r="G65" s="138">
        <v>30</v>
      </c>
      <c r="H65" s="167">
        <v>20</v>
      </c>
      <c r="I65" s="138">
        <v>25</v>
      </c>
      <c r="J65" s="167">
        <v>20</v>
      </c>
      <c r="K65" s="138">
        <v>88</v>
      </c>
      <c r="L65" s="167">
        <v>16</v>
      </c>
      <c r="M65" s="138">
        <v>4788</v>
      </c>
      <c r="N65" s="211" t="s">
        <v>505</v>
      </c>
    </row>
    <row r="66" spans="1:14" x14ac:dyDescent="0.2">
      <c r="A66" s="203" t="s">
        <v>581</v>
      </c>
      <c r="B66" s="208" t="s">
        <v>582</v>
      </c>
      <c r="C66" s="138">
        <v>296089</v>
      </c>
      <c r="D66" s="210">
        <v>353902</v>
      </c>
      <c r="E66" s="138">
        <v>1586</v>
      </c>
      <c r="F66" s="212">
        <v>1637</v>
      </c>
      <c r="G66" s="138">
        <v>8</v>
      </c>
      <c r="H66" s="167">
        <v>2</v>
      </c>
      <c r="I66" s="138">
        <v>6</v>
      </c>
      <c r="J66" s="167">
        <v>1</v>
      </c>
      <c r="K66" s="138">
        <v>6</v>
      </c>
      <c r="L66" s="167"/>
      <c r="M66" s="138">
        <v>3371</v>
      </c>
      <c r="N66" s="212">
        <v>5617</v>
      </c>
    </row>
    <row r="67" spans="1:14" x14ac:dyDescent="0.2">
      <c r="A67" s="203" t="s">
        <v>583</v>
      </c>
      <c r="B67" s="208" t="s">
        <v>584</v>
      </c>
      <c r="C67" s="138">
        <v>271854</v>
      </c>
      <c r="D67" s="210">
        <v>303416</v>
      </c>
      <c r="E67" s="138">
        <v>1157</v>
      </c>
      <c r="F67" s="212">
        <v>1114</v>
      </c>
      <c r="G67" s="138">
        <v>6</v>
      </c>
      <c r="H67" s="205"/>
      <c r="I67" s="138">
        <v>6</v>
      </c>
      <c r="J67" s="167">
        <v>1</v>
      </c>
      <c r="K67" s="138">
        <v>7</v>
      </c>
      <c r="L67" s="167"/>
      <c r="M67" s="138">
        <v>2205</v>
      </c>
      <c r="N67" s="212">
        <v>2285</v>
      </c>
    </row>
    <row r="68" spans="1:14" x14ac:dyDescent="0.2">
      <c r="A68" s="203" t="s">
        <v>585</v>
      </c>
      <c r="B68" s="208" t="s">
        <v>586</v>
      </c>
      <c r="C68" s="138">
        <v>56853</v>
      </c>
      <c r="D68" s="210">
        <v>86606</v>
      </c>
      <c r="E68" s="138">
        <v>184</v>
      </c>
      <c r="F68" s="212">
        <v>216</v>
      </c>
      <c r="G68" s="138">
        <v>0</v>
      </c>
      <c r="H68" s="167">
        <v>2</v>
      </c>
      <c r="I68" s="138">
        <v>0</v>
      </c>
      <c r="J68" s="167">
        <v>3</v>
      </c>
      <c r="K68" s="138">
        <v>3</v>
      </c>
      <c r="L68" s="167"/>
      <c r="M68" s="138">
        <v>876</v>
      </c>
      <c r="N68" s="212">
        <v>1565</v>
      </c>
    </row>
    <row r="69" spans="1:14" x14ac:dyDescent="0.2">
      <c r="A69" s="203" t="s">
        <v>587</v>
      </c>
      <c r="B69" s="208" t="s">
        <v>588</v>
      </c>
      <c r="C69" s="138">
        <v>93284</v>
      </c>
      <c r="D69" s="210">
        <v>130748</v>
      </c>
      <c r="E69" s="138">
        <v>375</v>
      </c>
      <c r="F69" s="212">
        <v>488</v>
      </c>
      <c r="G69" s="138">
        <v>17</v>
      </c>
      <c r="H69" s="167">
        <v>3</v>
      </c>
      <c r="I69" s="138">
        <v>3</v>
      </c>
      <c r="J69" s="167"/>
      <c r="K69" s="138">
        <v>3</v>
      </c>
      <c r="L69" s="167">
        <v>1</v>
      </c>
      <c r="M69" s="138">
        <v>1148</v>
      </c>
      <c r="N69" s="212">
        <v>1541</v>
      </c>
    </row>
    <row r="70" spans="1:14" x14ac:dyDescent="0.2">
      <c r="A70" s="197" t="s">
        <v>589</v>
      </c>
      <c r="B70" s="204" t="s">
        <v>590</v>
      </c>
    </row>
    <row r="133" spans="1:9" x14ac:dyDescent="0.2">
      <c r="A133" s="165"/>
      <c r="B133" s="166"/>
      <c r="C133" s="167"/>
      <c r="D133" s="168"/>
      <c r="E133" s="167"/>
      <c r="F133" s="170"/>
      <c r="G133" s="170"/>
      <c r="H133" s="170"/>
      <c r="I133" s="170"/>
    </row>
    <row r="134" spans="1:9" x14ac:dyDescent="0.2">
      <c r="A134" s="165"/>
      <c r="B134" s="166"/>
      <c r="C134" s="167"/>
      <c r="D134" s="168"/>
      <c r="E134" s="167"/>
      <c r="F134" s="170"/>
      <c r="G134" s="170"/>
      <c r="H134" s="170"/>
      <c r="I134" s="170"/>
    </row>
    <row r="135" spans="1:9" x14ac:dyDescent="0.2">
      <c r="A135" s="165"/>
      <c r="B135" s="166"/>
      <c r="C135" s="167"/>
      <c r="D135" s="168"/>
      <c r="E135" s="167"/>
      <c r="F135" s="170"/>
      <c r="G135" s="170"/>
      <c r="H135" s="170"/>
      <c r="I135" s="170"/>
    </row>
    <row r="136" spans="1:9" x14ac:dyDescent="0.2">
      <c r="A136" s="165"/>
      <c r="B136" s="166"/>
      <c r="C136" s="167"/>
      <c r="D136" s="168"/>
      <c r="E136" s="167"/>
      <c r="F136" s="170"/>
      <c r="G136" s="170"/>
      <c r="H136" s="170"/>
      <c r="I136" s="170"/>
    </row>
    <row r="137" spans="1:9" x14ac:dyDescent="0.2">
      <c r="A137" s="165"/>
      <c r="B137" s="166"/>
      <c r="C137" s="167"/>
      <c r="D137" s="168"/>
      <c r="E137" s="167"/>
      <c r="F137" s="170"/>
      <c r="G137" s="170"/>
      <c r="H137" s="170"/>
      <c r="I137" s="170"/>
    </row>
    <row r="138" spans="1:9" x14ac:dyDescent="0.2">
      <c r="A138" s="165"/>
      <c r="B138" s="166"/>
      <c r="C138" s="167"/>
      <c r="D138" s="168"/>
      <c r="E138" s="167"/>
      <c r="F138" s="170"/>
      <c r="G138" s="170"/>
      <c r="H138" s="170"/>
      <c r="I138" s="170"/>
    </row>
    <row r="139" spans="1:9" x14ac:dyDescent="0.2">
      <c r="A139" s="165"/>
      <c r="B139" s="166"/>
      <c r="C139" s="167"/>
      <c r="D139" s="167"/>
      <c r="E139" s="167"/>
      <c r="F139" s="170"/>
      <c r="G139" s="170"/>
      <c r="H139" s="170"/>
      <c r="I139" s="170"/>
    </row>
    <row r="140" spans="1:9" x14ac:dyDescent="0.2">
      <c r="A140" s="165"/>
      <c r="B140" s="166"/>
      <c r="C140" s="167"/>
      <c r="D140" s="168"/>
      <c r="E140" s="167"/>
      <c r="F140" s="170"/>
      <c r="G140" s="170"/>
      <c r="H140" s="170"/>
      <c r="I140" s="170"/>
    </row>
    <row r="141" spans="1:9" x14ac:dyDescent="0.2">
      <c r="A141" s="165"/>
      <c r="B141" s="166"/>
      <c r="C141" s="167"/>
      <c r="D141" s="168"/>
      <c r="E141" s="167"/>
      <c r="F141" s="170"/>
      <c r="G141" s="170"/>
      <c r="H141" s="170"/>
      <c r="I141" s="170"/>
    </row>
    <row r="142" spans="1:9" x14ac:dyDescent="0.2">
      <c r="A142" s="165"/>
      <c r="B142" s="166"/>
      <c r="C142" s="167"/>
      <c r="D142" s="167"/>
      <c r="E142" s="167"/>
      <c r="F142" s="170"/>
      <c r="G142" s="170"/>
      <c r="H142" s="170"/>
      <c r="I142" s="170"/>
    </row>
    <row r="143" spans="1:9" x14ac:dyDescent="0.2">
      <c r="A143" s="165"/>
      <c r="B143" s="166"/>
      <c r="C143" s="167"/>
      <c r="D143" s="169"/>
      <c r="E143" s="167"/>
      <c r="F143" s="170"/>
      <c r="G143" s="170"/>
      <c r="H143" s="170"/>
      <c r="I143" s="170"/>
    </row>
    <row r="144" spans="1:9" x14ac:dyDescent="0.2">
      <c r="A144" s="165"/>
      <c r="B144" s="166"/>
      <c r="C144" s="167"/>
      <c r="D144" s="169"/>
      <c r="E144" s="167"/>
      <c r="F144" s="170"/>
      <c r="G144" s="170"/>
      <c r="H144" s="170"/>
      <c r="I144" s="170"/>
    </row>
    <row r="145" spans="1:9" x14ac:dyDescent="0.2">
      <c r="A145" s="165"/>
      <c r="B145" s="166"/>
      <c r="C145" s="167"/>
      <c r="D145" s="168"/>
      <c r="E145" s="167"/>
      <c r="F145" s="170"/>
      <c r="G145" s="170"/>
      <c r="H145" s="170"/>
      <c r="I145" s="170"/>
    </row>
    <row r="146" spans="1:9" x14ac:dyDescent="0.2">
      <c r="A146" s="165"/>
      <c r="B146" s="166"/>
      <c r="C146" s="167"/>
      <c r="D146" s="168"/>
      <c r="E146" s="167"/>
      <c r="F146" s="170"/>
      <c r="G146" s="170"/>
      <c r="H146" s="170"/>
      <c r="I146" s="170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FCF118-E9FE-4DBE-A641-2D45F0BA52CD}">
  <dimension ref="A1:K29"/>
  <sheetViews>
    <sheetView tabSelected="1" workbookViewId="0">
      <selection activeCell="J30" sqref="J30"/>
    </sheetView>
  </sheetViews>
  <sheetFormatPr defaultColWidth="9" defaultRowHeight="13.5" x14ac:dyDescent="0.25"/>
  <cols>
    <col min="1" max="1" width="9" style="156"/>
    <col min="2" max="2" width="58.5703125" style="156" customWidth="1"/>
    <col min="3" max="8" width="9.140625" style="156" bestFit="1" customWidth="1"/>
    <col min="9" max="9" width="11" style="156" bestFit="1" customWidth="1"/>
    <col min="10" max="10" width="13" style="156" bestFit="1" customWidth="1"/>
    <col min="11" max="11" width="12" style="156" bestFit="1" customWidth="1"/>
    <col min="12" max="16384" width="9" style="156"/>
  </cols>
  <sheetData>
    <row r="1" spans="1:11" x14ac:dyDescent="0.25">
      <c r="A1" s="123"/>
      <c r="B1" s="123"/>
      <c r="C1" s="246">
        <v>2011</v>
      </c>
      <c r="D1" s="246"/>
      <c r="E1" s="246"/>
      <c r="F1" s="247">
        <v>2019</v>
      </c>
      <c r="G1" s="247"/>
      <c r="H1" s="247"/>
      <c r="I1" s="248">
        <v>2022</v>
      </c>
      <c r="J1" s="248"/>
      <c r="K1" s="248"/>
    </row>
    <row r="2" spans="1:11" x14ac:dyDescent="0.25">
      <c r="A2" s="123"/>
      <c r="B2" s="123"/>
      <c r="C2" s="215" t="s">
        <v>603</v>
      </c>
      <c r="D2" s="215" t="s">
        <v>604</v>
      </c>
      <c r="E2" s="215" t="s">
        <v>104</v>
      </c>
      <c r="F2" s="218" t="s">
        <v>603</v>
      </c>
      <c r="G2" s="218" t="s">
        <v>604</v>
      </c>
      <c r="H2" s="218" t="s">
        <v>104</v>
      </c>
      <c r="I2" s="221" t="s">
        <v>603</v>
      </c>
      <c r="J2" s="221" t="s">
        <v>604</v>
      </c>
      <c r="K2" s="221" t="s">
        <v>104</v>
      </c>
    </row>
    <row r="3" spans="1:11" x14ac:dyDescent="0.25">
      <c r="A3" s="213" t="s">
        <v>551</v>
      </c>
      <c r="B3" s="164" t="s">
        <v>552</v>
      </c>
      <c r="C3" s="216">
        <v>97</v>
      </c>
      <c r="D3" s="216">
        <v>33713</v>
      </c>
      <c r="E3" s="216">
        <v>231</v>
      </c>
      <c r="F3" s="219">
        <v>2495</v>
      </c>
      <c r="G3" s="220">
        <v>41028.43644000007</v>
      </c>
      <c r="H3" s="219">
        <v>2219</v>
      </c>
      <c r="I3" s="222">
        <v>2716</v>
      </c>
      <c r="J3" s="223">
        <v>66011.901390000057</v>
      </c>
      <c r="K3" s="222">
        <v>1894</v>
      </c>
    </row>
    <row r="4" spans="1:11" x14ac:dyDescent="0.25">
      <c r="A4" s="213" t="s">
        <v>553</v>
      </c>
      <c r="B4" s="164" t="s">
        <v>554</v>
      </c>
      <c r="C4" s="216">
        <v>5</v>
      </c>
      <c r="D4" s="216">
        <v>1124</v>
      </c>
      <c r="E4" s="216">
        <v>25</v>
      </c>
      <c r="F4" s="219" t="s">
        <v>505</v>
      </c>
      <c r="G4" s="220" t="s">
        <v>505</v>
      </c>
      <c r="H4" s="219" t="s">
        <v>505</v>
      </c>
      <c r="I4" s="224" t="s">
        <v>505</v>
      </c>
      <c r="J4" s="223" t="s">
        <v>505</v>
      </c>
      <c r="K4" s="224" t="s">
        <v>505</v>
      </c>
    </row>
    <row r="5" spans="1:11" x14ac:dyDescent="0.25">
      <c r="A5" s="213" t="s">
        <v>555</v>
      </c>
      <c r="B5" s="164" t="s">
        <v>556</v>
      </c>
      <c r="C5" s="216">
        <v>382</v>
      </c>
      <c r="D5" s="216">
        <v>75302</v>
      </c>
      <c r="E5" s="216">
        <v>1247</v>
      </c>
      <c r="F5" s="219">
        <v>280</v>
      </c>
      <c r="G5" s="220">
        <v>67588.556169999967</v>
      </c>
      <c r="H5" s="219">
        <v>812</v>
      </c>
      <c r="I5" s="222">
        <v>293</v>
      </c>
      <c r="J5" s="223">
        <v>81276.058720000015</v>
      </c>
      <c r="K5" s="222">
        <v>834</v>
      </c>
    </row>
    <row r="6" spans="1:11" x14ac:dyDescent="0.25">
      <c r="A6" s="213" t="s">
        <v>557</v>
      </c>
      <c r="B6" s="164" t="s">
        <v>558</v>
      </c>
      <c r="C6" s="216">
        <v>42</v>
      </c>
      <c r="D6" s="216">
        <v>3605</v>
      </c>
      <c r="E6" s="216">
        <v>139</v>
      </c>
      <c r="F6" s="219">
        <v>33</v>
      </c>
      <c r="G6" s="220">
        <v>2713.4161199999999</v>
      </c>
      <c r="H6" s="219">
        <v>57</v>
      </c>
      <c r="I6" s="222">
        <v>41</v>
      </c>
      <c r="J6" s="223">
        <v>3722.9344599999999</v>
      </c>
      <c r="K6" s="222">
        <v>66</v>
      </c>
    </row>
    <row r="7" spans="1:11" x14ac:dyDescent="0.25">
      <c r="A7" s="213" t="s">
        <v>559</v>
      </c>
      <c r="B7" s="164" t="s">
        <v>560</v>
      </c>
      <c r="C7" s="216">
        <v>7</v>
      </c>
      <c r="D7" s="216">
        <v>3845</v>
      </c>
      <c r="E7" s="216">
        <v>61</v>
      </c>
      <c r="F7" s="219" t="s">
        <v>505</v>
      </c>
      <c r="G7" s="220" t="s">
        <v>505</v>
      </c>
      <c r="H7" s="219" t="s">
        <v>505</v>
      </c>
      <c r="I7" s="222">
        <v>27</v>
      </c>
      <c r="J7" s="223">
        <v>1891.38535</v>
      </c>
      <c r="K7" s="222">
        <v>29</v>
      </c>
    </row>
    <row r="8" spans="1:11" x14ac:dyDescent="0.25">
      <c r="A8" s="213" t="s">
        <v>561</v>
      </c>
      <c r="B8" s="164" t="s">
        <v>562</v>
      </c>
      <c r="C8" s="216">
        <v>877</v>
      </c>
      <c r="D8" s="216">
        <v>30396</v>
      </c>
      <c r="E8" s="216">
        <v>1887</v>
      </c>
      <c r="F8" s="219">
        <v>511</v>
      </c>
      <c r="G8" s="220">
        <v>19452.219250000009</v>
      </c>
      <c r="H8" s="219">
        <v>618</v>
      </c>
      <c r="I8" s="222">
        <v>555</v>
      </c>
      <c r="J8" s="223">
        <v>32365.305149999997</v>
      </c>
      <c r="K8" s="222">
        <v>706</v>
      </c>
    </row>
    <row r="9" spans="1:11" x14ac:dyDescent="0.25">
      <c r="A9" s="213" t="s">
        <v>563</v>
      </c>
      <c r="B9" s="164" t="s">
        <v>564</v>
      </c>
      <c r="C9" s="216">
        <v>1469</v>
      </c>
      <c r="D9" s="216">
        <v>350573</v>
      </c>
      <c r="E9" s="216">
        <v>4055</v>
      </c>
      <c r="F9" s="219">
        <v>1142</v>
      </c>
      <c r="G9" s="220">
        <v>254710.99855000022</v>
      </c>
      <c r="H9" s="219">
        <v>2641</v>
      </c>
      <c r="I9" s="222">
        <v>1105</v>
      </c>
      <c r="J9" s="223">
        <v>295328.80493999983</v>
      </c>
      <c r="K9" s="222">
        <v>2685</v>
      </c>
    </row>
    <row r="10" spans="1:11" x14ac:dyDescent="0.25">
      <c r="A10" s="213" t="s">
        <v>565</v>
      </c>
      <c r="B10" s="164" t="s">
        <v>566</v>
      </c>
      <c r="C10" s="216">
        <v>251</v>
      </c>
      <c r="D10" s="216">
        <v>43143</v>
      </c>
      <c r="E10" s="216">
        <v>889</v>
      </c>
      <c r="F10" s="219">
        <v>216</v>
      </c>
      <c r="G10" s="220">
        <v>16930.916188657273</v>
      </c>
      <c r="H10" s="219">
        <v>441</v>
      </c>
      <c r="I10" s="222">
        <v>207</v>
      </c>
      <c r="J10" s="223">
        <v>20012.627976846841</v>
      </c>
      <c r="K10" s="222">
        <v>412</v>
      </c>
    </row>
    <row r="11" spans="1:11" x14ac:dyDescent="0.25">
      <c r="A11" s="213" t="s">
        <v>567</v>
      </c>
      <c r="B11" s="164" t="s">
        <v>568</v>
      </c>
      <c r="C11" s="216">
        <v>689</v>
      </c>
      <c r="D11" s="216">
        <v>41319</v>
      </c>
      <c r="E11" s="216">
        <v>1840</v>
      </c>
      <c r="F11" s="219">
        <v>629</v>
      </c>
      <c r="G11" s="220">
        <v>44078.880029999957</v>
      </c>
      <c r="H11" s="219">
        <v>2786</v>
      </c>
      <c r="I11" s="222">
        <v>579</v>
      </c>
      <c r="J11" s="223">
        <v>50179.518319999988</v>
      </c>
      <c r="K11" s="222">
        <v>2866</v>
      </c>
    </row>
    <row r="12" spans="1:11" x14ac:dyDescent="0.25">
      <c r="A12" s="213" t="s">
        <v>569</v>
      </c>
      <c r="B12" s="164" t="s">
        <v>570</v>
      </c>
      <c r="C12" s="216">
        <v>84</v>
      </c>
      <c r="D12" s="216">
        <v>12483</v>
      </c>
      <c r="E12" s="216">
        <v>273</v>
      </c>
      <c r="F12" s="219">
        <v>62</v>
      </c>
      <c r="G12" s="220">
        <v>17086.711460000002</v>
      </c>
      <c r="H12" s="219">
        <v>194</v>
      </c>
      <c r="I12" s="222">
        <v>75</v>
      </c>
      <c r="J12" s="223">
        <v>5393.1193300000014</v>
      </c>
      <c r="K12" s="222">
        <v>135</v>
      </c>
    </row>
    <row r="13" spans="1:11" x14ac:dyDescent="0.25">
      <c r="A13" s="213" t="s">
        <v>571</v>
      </c>
      <c r="B13" s="164" t="s">
        <v>572</v>
      </c>
      <c r="C13" s="216">
        <v>71</v>
      </c>
      <c r="D13" s="216">
        <v>1710</v>
      </c>
      <c r="E13" s="216">
        <v>136</v>
      </c>
      <c r="F13" s="219">
        <v>93</v>
      </c>
      <c r="G13" s="220">
        <v>3006.6120699999992</v>
      </c>
      <c r="H13" s="219">
        <v>152</v>
      </c>
      <c r="I13" s="222">
        <v>83</v>
      </c>
      <c r="J13" s="223">
        <v>3215.6867899999997</v>
      </c>
      <c r="K13" s="222">
        <v>148</v>
      </c>
    </row>
    <row r="14" spans="1:11" x14ac:dyDescent="0.25">
      <c r="A14" s="213" t="s">
        <v>573</v>
      </c>
      <c r="B14" s="164" t="s">
        <v>574</v>
      </c>
      <c r="C14" s="216">
        <v>45</v>
      </c>
      <c r="D14" s="216">
        <v>1929</v>
      </c>
      <c r="E14" s="216">
        <v>100</v>
      </c>
      <c r="F14" s="219">
        <v>31</v>
      </c>
      <c r="G14" s="220">
        <v>1263.60409</v>
      </c>
      <c r="H14" s="219">
        <v>34</v>
      </c>
      <c r="I14" s="222">
        <v>44</v>
      </c>
      <c r="J14" s="223">
        <v>2823.4053499999995</v>
      </c>
      <c r="K14" s="222">
        <v>72</v>
      </c>
    </row>
    <row r="15" spans="1:11" x14ac:dyDescent="0.25">
      <c r="A15" s="213" t="s">
        <v>575</v>
      </c>
      <c r="B15" s="164" t="s">
        <v>576</v>
      </c>
      <c r="C15" s="216">
        <v>587</v>
      </c>
      <c r="D15" s="216">
        <v>17551</v>
      </c>
      <c r="E15" s="216">
        <v>1274</v>
      </c>
      <c r="F15" s="219">
        <v>547</v>
      </c>
      <c r="G15" s="220">
        <v>18029.995889999995</v>
      </c>
      <c r="H15" s="219">
        <v>756</v>
      </c>
      <c r="I15" s="222">
        <v>581</v>
      </c>
      <c r="J15" s="223">
        <v>21009.078809999995</v>
      </c>
      <c r="K15" s="222">
        <v>841</v>
      </c>
    </row>
    <row r="16" spans="1:11" x14ac:dyDescent="0.25">
      <c r="A16" s="213" t="s">
        <v>577</v>
      </c>
      <c r="B16" s="164" t="s">
        <v>578</v>
      </c>
      <c r="C16" s="216">
        <v>144</v>
      </c>
      <c r="D16" s="216">
        <v>7386</v>
      </c>
      <c r="E16" s="216">
        <v>340</v>
      </c>
      <c r="F16" s="219">
        <v>112</v>
      </c>
      <c r="G16" s="220">
        <v>7536.2840099999967</v>
      </c>
      <c r="H16" s="219">
        <v>208</v>
      </c>
      <c r="I16" s="222">
        <v>159</v>
      </c>
      <c r="J16" s="223">
        <v>8691.6501599999974</v>
      </c>
      <c r="K16" s="222">
        <v>273</v>
      </c>
    </row>
    <row r="17" spans="1:11" x14ac:dyDescent="0.25">
      <c r="A17" s="213" t="s">
        <v>579</v>
      </c>
      <c r="B17" s="164" t="s">
        <v>580</v>
      </c>
      <c r="C17" s="216">
        <v>7</v>
      </c>
      <c r="D17" s="216">
        <v>119</v>
      </c>
      <c r="E17" s="216">
        <v>67</v>
      </c>
      <c r="F17" s="219">
        <v>10</v>
      </c>
      <c r="G17" s="220">
        <v>161.75352000000001</v>
      </c>
      <c r="H17" s="219">
        <v>649</v>
      </c>
      <c r="I17" s="224" t="s">
        <v>505</v>
      </c>
      <c r="J17" s="223" t="s">
        <v>505</v>
      </c>
      <c r="K17" s="224" t="s">
        <v>505</v>
      </c>
    </row>
    <row r="18" spans="1:11" x14ac:dyDescent="0.25">
      <c r="A18" s="213" t="s">
        <v>581</v>
      </c>
      <c r="B18" s="164" t="s">
        <v>582</v>
      </c>
      <c r="C18" s="216">
        <v>140</v>
      </c>
      <c r="D18" s="216">
        <v>3506</v>
      </c>
      <c r="E18" s="216">
        <v>323</v>
      </c>
      <c r="F18" s="219">
        <v>123</v>
      </c>
      <c r="G18" s="220">
        <v>2227.97381</v>
      </c>
      <c r="H18" s="219">
        <v>1692</v>
      </c>
      <c r="I18" s="222">
        <v>138</v>
      </c>
      <c r="J18" s="223">
        <v>2938.3267400000004</v>
      </c>
      <c r="K18" s="222">
        <v>1637</v>
      </c>
    </row>
    <row r="19" spans="1:11" x14ac:dyDescent="0.25">
      <c r="A19" s="213" t="s">
        <v>583</v>
      </c>
      <c r="B19" s="164" t="s">
        <v>584</v>
      </c>
      <c r="C19" s="216">
        <v>205</v>
      </c>
      <c r="D19" s="216">
        <v>14575</v>
      </c>
      <c r="E19" s="216">
        <v>535</v>
      </c>
      <c r="F19" s="219">
        <v>245</v>
      </c>
      <c r="G19" s="220">
        <v>12136.449019999996</v>
      </c>
      <c r="H19" s="219">
        <v>1035</v>
      </c>
      <c r="I19" s="222">
        <v>254</v>
      </c>
      <c r="J19" s="223">
        <v>13004.910130000004</v>
      </c>
      <c r="K19" s="222">
        <v>1114</v>
      </c>
    </row>
    <row r="20" spans="1:11" x14ac:dyDescent="0.25">
      <c r="A20" s="213" t="s">
        <v>585</v>
      </c>
      <c r="B20" s="164" t="s">
        <v>586</v>
      </c>
      <c r="C20" s="216">
        <v>102</v>
      </c>
      <c r="D20" s="216">
        <v>3414</v>
      </c>
      <c r="E20" s="216">
        <v>223</v>
      </c>
      <c r="F20" s="219">
        <v>98</v>
      </c>
      <c r="G20" s="220">
        <v>2021.0086800000001</v>
      </c>
      <c r="H20" s="219">
        <v>195</v>
      </c>
      <c r="I20" s="222">
        <v>112</v>
      </c>
      <c r="J20" s="223">
        <v>2167.57116</v>
      </c>
      <c r="K20" s="222">
        <v>216</v>
      </c>
    </row>
    <row r="21" spans="1:11" x14ac:dyDescent="0.25">
      <c r="A21" s="213" t="s">
        <v>587</v>
      </c>
      <c r="B21" s="164" t="s">
        <v>588</v>
      </c>
      <c r="C21" s="216">
        <v>157</v>
      </c>
      <c r="D21" s="216">
        <v>3600</v>
      </c>
      <c r="E21" s="216">
        <v>335</v>
      </c>
      <c r="F21" s="219">
        <v>192</v>
      </c>
      <c r="G21" s="220">
        <v>3684.2083900000016</v>
      </c>
      <c r="H21" s="219">
        <v>422</v>
      </c>
      <c r="I21" s="222">
        <v>221</v>
      </c>
      <c r="J21" s="223">
        <v>4390.4079999999985</v>
      </c>
      <c r="K21" s="222">
        <v>488</v>
      </c>
    </row>
    <row r="22" spans="1:11" x14ac:dyDescent="0.25">
      <c r="A22" s="213" t="s">
        <v>589</v>
      </c>
      <c r="B22" s="164" t="s">
        <v>590</v>
      </c>
      <c r="C22" s="216">
        <v>25</v>
      </c>
      <c r="D22" s="216">
        <v>111</v>
      </c>
      <c r="E22" s="216">
        <v>47</v>
      </c>
      <c r="F22" s="219">
        <v>94</v>
      </c>
      <c r="G22" s="220">
        <v>27.015000000000001</v>
      </c>
      <c r="H22" s="219">
        <v>93</v>
      </c>
      <c r="I22" s="222">
        <v>17</v>
      </c>
      <c r="J22" s="223">
        <v>9.1366199999999989</v>
      </c>
      <c r="K22" s="222">
        <v>34</v>
      </c>
    </row>
    <row r="23" spans="1:11" x14ac:dyDescent="0.25">
      <c r="A23" s="123"/>
      <c r="B23" s="214" t="s">
        <v>602</v>
      </c>
      <c r="C23" s="217">
        <f>SUM(C3:C22)</f>
        <v>5386</v>
      </c>
      <c r="D23" s="217">
        <f t="shared" ref="D23:E23" si="0">SUM(D3:D22)</f>
        <v>649404</v>
      </c>
      <c r="E23" s="217">
        <f t="shared" si="0"/>
        <v>14027</v>
      </c>
      <c r="F23" s="219">
        <v>6925</v>
      </c>
      <c r="G23" s="220">
        <v>519314.50970865769</v>
      </c>
      <c r="H23" s="219">
        <v>15031</v>
      </c>
      <c r="I23" s="222">
        <v>7219</v>
      </c>
      <c r="J23" s="223">
        <v>615839.82641684404</v>
      </c>
      <c r="K23" s="222">
        <v>15369</v>
      </c>
    </row>
    <row r="26" spans="1:11" x14ac:dyDescent="0.25">
      <c r="D26" s="156">
        <f>D9/D23</f>
        <v>0.53983806690442315</v>
      </c>
      <c r="J26" s="156">
        <f>J9/J23</f>
        <v>0.47955457291276316</v>
      </c>
    </row>
    <row r="27" spans="1:11" x14ac:dyDescent="0.25">
      <c r="J27" s="156">
        <f>J5/J23</f>
        <v>0.13197597042869166</v>
      </c>
    </row>
    <row r="28" spans="1:11" x14ac:dyDescent="0.25">
      <c r="J28" s="156">
        <f>J3/J23</f>
        <v>0.10719004935760443</v>
      </c>
    </row>
    <row r="29" spans="1:11" x14ac:dyDescent="0.25">
      <c r="J29" s="156">
        <f>J11/J23</f>
        <v>8.1481443985136057E-2</v>
      </c>
    </row>
  </sheetData>
  <mergeCells count="3">
    <mergeCell ref="C1:E1"/>
    <mergeCell ref="F1:H1"/>
    <mergeCell ref="I1:K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εκταση - πληθυσμός</vt:lpstr>
      <vt:lpstr>Ομαδοποιηση νησιών</vt:lpstr>
      <vt:lpstr>ΦΚ-πληθυσμός 2011-21</vt:lpstr>
      <vt:lpstr>Koinvnikomi Demiktez</vt:lpstr>
      <vt:lpstr>κκΑΕΠ</vt:lpstr>
      <vt:lpstr>Απασχόληση</vt:lpstr>
      <vt:lpstr>ΠΑ κλάδοι</vt:lpstr>
      <vt:lpstr>Μητρώο Επιχειρήσεων</vt:lpstr>
      <vt:lpstr>Productivity</vt:lpstr>
      <vt:lpstr>case studies - demogr</vt:lpstr>
      <vt:lpstr>case studies eco-census</vt:lpstr>
      <vt:lpstr>Companies</vt:lpstr>
      <vt:lpstr>Chios RU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IOANNIS SPILANIS</dc:creator>
  <cp:lastModifiedBy>IOANNIS SPILANIS</cp:lastModifiedBy>
  <dcterms:created xsi:type="dcterms:W3CDTF">2025-02-16T17:16:19Z</dcterms:created>
  <dcterms:modified xsi:type="dcterms:W3CDTF">2025-03-05T08:46:41Z</dcterms:modified>
</cp:coreProperties>
</file>